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5" yWindow="-60" windowWidth="19230" windowHeight="12825" activeTab="3"/>
  </bookViews>
  <sheets>
    <sheet name="Новинки" sheetId="13" r:id="rId1"/>
    <sheet name="Лист2" sheetId="24" state="hidden" r:id="rId2"/>
    <sheet name="Прайс" sheetId="25" state="hidden" r:id="rId3"/>
    <sheet name="Печать" sheetId="5" r:id="rId4"/>
    <sheet name="Офсет" sheetId="17" state="hidden" r:id="rId5"/>
    <sheet name="Себестоимости" sheetId="3" state="hidden" r:id="rId6"/>
    <sheet name="Услуги дизайна" sheetId="21" state="hidden" r:id="rId7"/>
    <sheet name="Резка" sheetId="4" state="hidden" r:id="rId8"/>
    <sheet name="Размеры и перерасход" sheetId="11" state="hidden" r:id="rId9"/>
    <sheet name="Настройки" sheetId="6" state="hidden" r:id="rId10"/>
    <sheet name="Широкоформат" sheetId="8" r:id="rId11"/>
    <sheet name="Стоимость за кв.м." sheetId="12" state="hidden" r:id="rId12"/>
    <sheet name="Плот.резка" sheetId="26" state="hidden" r:id="rId13"/>
    <sheet name="Форматы" sheetId="2" state="hidden" r:id="rId14"/>
    <sheet name="Переплёт" sheetId="19" r:id="rId15"/>
    <sheet name="Изделия из пластика" sheetId="15" r:id="rId16"/>
    <sheet name="Аксессуры" sheetId="7" state="hidden" r:id="rId17"/>
    <sheet name="Штампы" sheetId="20" r:id="rId18"/>
    <sheet name="Штендер" sheetId="14" r:id="rId19"/>
    <sheet name="Каталоги на скобу" sheetId="22" state="hidden" r:id="rId20"/>
  </sheets>
  <definedNames>
    <definedName name="_xlnm._FilterDatabase" localSheetId="15" hidden="1">'Изделия из пластика'!$A$2:$I$44</definedName>
    <definedName name="_xlnm._FilterDatabase" localSheetId="3" hidden="1">Печать!$A$31:$G$34</definedName>
    <definedName name="_xlnm._FilterDatabase" localSheetId="17" hidden="1">Штампы!$A$15:$G$64</definedName>
  </definedNames>
  <calcPr calcId="125725"/>
</workbook>
</file>

<file path=xl/calcChain.xml><?xml version="1.0" encoding="utf-8"?>
<calcChain xmlns="http://schemas.openxmlformats.org/spreadsheetml/2006/main">
  <c r="O62" i="3"/>
  <c r="N62"/>
  <c r="J62"/>
  <c r="H131" i="5"/>
  <c r="G131"/>
  <c r="F131"/>
  <c r="E131"/>
  <c r="O164" i="3"/>
  <c r="N164"/>
  <c r="J164"/>
  <c r="J40"/>
  <c r="N40"/>
  <c r="O40"/>
  <c r="D13" i="7"/>
  <c r="L28" i="5"/>
  <c r="W28" s="1"/>
  <c r="M28"/>
  <c r="X28" s="1"/>
  <c r="N28"/>
  <c r="O28"/>
  <c r="P28"/>
  <c r="Q28"/>
  <c r="L29"/>
  <c r="W29" s="1"/>
  <c r="M29"/>
  <c r="X29" s="1"/>
  <c r="N29"/>
  <c r="O29"/>
  <c r="P29"/>
  <c r="Q29"/>
  <c r="L30"/>
  <c r="W30" s="1"/>
  <c r="M30"/>
  <c r="X30" s="1"/>
  <c r="N30"/>
  <c r="O30"/>
  <c r="P30"/>
  <c r="Q30"/>
  <c r="L31"/>
  <c r="W31" s="1"/>
  <c r="M31"/>
  <c r="X31" s="1"/>
  <c r="N31"/>
  <c r="O31"/>
  <c r="P31"/>
  <c r="Q31"/>
  <c r="L32"/>
  <c r="W32" s="1"/>
  <c r="M32"/>
  <c r="X32" s="1"/>
  <c r="N32"/>
  <c r="O32"/>
  <c r="P32"/>
  <c r="Q32"/>
  <c r="L33"/>
  <c r="W33" s="1"/>
  <c r="M33"/>
  <c r="X33" s="1"/>
  <c r="N33"/>
  <c r="O33"/>
  <c r="P33"/>
  <c r="Q33"/>
  <c r="L34"/>
  <c r="W34" s="1"/>
  <c r="M34"/>
  <c r="X34" s="1"/>
  <c r="N34"/>
  <c r="O34"/>
  <c r="P34"/>
  <c r="Q34"/>
  <c r="L35"/>
  <c r="W35" s="1"/>
  <c r="M35"/>
  <c r="X35" s="1"/>
  <c r="N35"/>
  <c r="O35"/>
  <c r="P35"/>
  <c r="Q35"/>
  <c r="L36"/>
  <c r="W36" s="1"/>
  <c r="M36"/>
  <c r="X36" s="1"/>
  <c r="N36"/>
  <c r="O36"/>
  <c r="P36"/>
  <c r="Q36"/>
  <c r="L37"/>
  <c r="W37" s="1"/>
  <c r="M37"/>
  <c r="X37" s="1"/>
  <c r="N37"/>
  <c r="O37"/>
  <c r="P37"/>
  <c r="Q37"/>
  <c r="L38"/>
  <c r="W38" s="1"/>
  <c r="M38"/>
  <c r="X38" s="1"/>
  <c r="N38"/>
  <c r="O38"/>
  <c r="P38"/>
  <c r="Q38"/>
  <c r="L39"/>
  <c r="W39" s="1"/>
  <c r="M39"/>
  <c r="X39" s="1"/>
  <c r="N39"/>
  <c r="O39"/>
  <c r="P39"/>
  <c r="Q39"/>
  <c r="L40"/>
  <c r="W40" s="1"/>
  <c r="M40"/>
  <c r="X40" s="1"/>
  <c r="N40"/>
  <c r="O40"/>
  <c r="P40"/>
  <c r="Q40"/>
  <c r="L41"/>
  <c r="W41" s="1"/>
  <c r="M41"/>
  <c r="X41" s="1"/>
  <c r="N41"/>
  <c r="O41"/>
  <c r="P41"/>
  <c r="Q41"/>
  <c r="L42"/>
  <c r="W42" s="1"/>
  <c r="M42"/>
  <c r="X42" s="1"/>
  <c r="N42"/>
  <c r="O42"/>
  <c r="P42"/>
  <c r="Q42"/>
  <c r="L43"/>
  <c r="W43" s="1"/>
  <c r="M43"/>
  <c r="X43" s="1"/>
  <c r="N43"/>
  <c r="O43"/>
  <c r="P43"/>
  <c r="Q43"/>
  <c r="L44"/>
  <c r="W44" s="1"/>
  <c r="M44"/>
  <c r="X44" s="1"/>
  <c r="N44"/>
  <c r="O44"/>
  <c r="P44"/>
  <c r="Q44"/>
  <c r="L45"/>
  <c r="W45" s="1"/>
  <c r="M45"/>
  <c r="X45" s="1"/>
  <c r="N45"/>
  <c r="O45"/>
  <c r="P45"/>
  <c r="Q45"/>
  <c r="L46"/>
  <c r="W46" s="1"/>
  <c r="M46"/>
  <c r="X46" s="1"/>
  <c r="N46"/>
  <c r="O46"/>
  <c r="P46"/>
  <c r="Q46"/>
  <c r="L47"/>
  <c r="W47" s="1"/>
  <c r="M47"/>
  <c r="X47" s="1"/>
  <c r="N47"/>
  <c r="O47"/>
  <c r="P47"/>
  <c r="Q47"/>
  <c r="L48"/>
  <c r="W48" s="1"/>
  <c r="M48"/>
  <c r="X48" s="1"/>
  <c r="N48"/>
  <c r="O48"/>
  <c r="P48"/>
  <c r="Q48"/>
  <c r="L49"/>
  <c r="W49" s="1"/>
  <c r="M49"/>
  <c r="X49" s="1"/>
  <c r="N49"/>
  <c r="O49"/>
  <c r="P49"/>
  <c r="Q49"/>
  <c r="L50"/>
  <c r="W50" s="1"/>
  <c r="M50"/>
  <c r="X50" s="1"/>
  <c r="N50"/>
  <c r="O50"/>
  <c r="P50"/>
  <c r="Q50"/>
  <c r="L51"/>
  <c r="W51" s="1"/>
  <c r="M51"/>
  <c r="X51" s="1"/>
  <c r="N51"/>
  <c r="O51"/>
  <c r="P51"/>
  <c r="Q51"/>
  <c r="L52"/>
  <c r="W52" s="1"/>
  <c r="M52"/>
  <c r="X52" s="1"/>
  <c r="N52"/>
  <c r="O52"/>
  <c r="P52"/>
  <c r="Q52"/>
  <c r="L53"/>
  <c r="W53" s="1"/>
  <c r="M53"/>
  <c r="X53" s="1"/>
  <c r="N53"/>
  <c r="O53"/>
  <c r="P53"/>
  <c r="Q53"/>
  <c r="L54"/>
  <c r="W54" s="1"/>
  <c r="M54"/>
  <c r="X54" s="1"/>
  <c r="N54"/>
  <c r="O54"/>
  <c r="P54"/>
  <c r="Q54"/>
  <c r="L55"/>
  <c r="W55" s="1"/>
  <c r="M55"/>
  <c r="X55" s="1"/>
  <c r="N55"/>
  <c r="O55"/>
  <c r="P55"/>
  <c r="Q55"/>
  <c r="L56"/>
  <c r="W56" s="1"/>
  <c r="M56"/>
  <c r="X56" s="1"/>
  <c r="N56"/>
  <c r="O56"/>
  <c r="P56"/>
  <c r="Q56"/>
  <c r="L57"/>
  <c r="W57" s="1"/>
  <c r="M57"/>
  <c r="X57" s="1"/>
  <c r="N57"/>
  <c r="O57"/>
  <c r="P57"/>
  <c r="Q57"/>
  <c r="L58"/>
  <c r="W58" s="1"/>
  <c r="M58"/>
  <c r="X58" s="1"/>
  <c r="N58"/>
  <c r="O58"/>
  <c r="P58"/>
  <c r="Q58"/>
  <c r="L59"/>
  <c r="W59" s="1"/>
  <c r="M59"/>
  <c r="X59" s="1"/>
  <c r="N59"/>
  <c r="O59"/>
  <c r="P59"/>
  <c r="Q59"/>
  <c r="L60"/>
  <c r="W60" s="1"/>
  <c r="M60"/>
  <c r="X60" s="1"/>
  <c r="N60"/>
  <c r="O60"/>
  <c r="P60"/>
  <c r="Q60"/>
  <c r="L61"/>
  <c r="W61" s="1"/>
  <c r="M61"/>
  <c r="X61" s="1"/>
  <c r="N61"/>
  <c r="O61"/>
  <c r="P61"/>
  <c r="Q61"/>
  <c r="L62"/>
  <c r="W62" s="1"/>
  <c r="M62"/>
  <c r="X62" s="1"/>
  <c r="N62"/>
  <c r="O62"/>
  <c r="P62"/>
  <c r="Q62"/>
  <c r="L63"/>
  <c r="W63" s="1"/>
  <c r="M63"/>
  <c r="X63" s="1"/>
  <c r="N63"/>
  <c r="O63"/>
  <c r="P63"/>
  <c r="Q63"/>
  <c r="L64"/>
  <c r="W64" s="1"/>
  <c r="M64"/>
  <c r="X64" s="1"/>
  <c r="N64"/>
  <c r="O64"/>
  <c r="P64"/>
  <c r="Q64"/>
  <c r="L65"/>
  <c r="W65" s="1"/>
  <c r="M65"/>
  <c r="X65" s="1"/>
  <c r="N65"/>
  <c r="O65"/>
  <c r="P65"/>
  <c r="Q65"/>
  <c r="L66"/>
  <c r="W66" s="1"/>
  <c r="M66"/>
  <c r="X66" s="1"/>
  <c r="N66"/>
  <c r="O66"/>
  <c r="P66"/>
  <c r="Q66"/>
  <c r="L67"/>
  <c r="W67" s="1"/>
  <c r="M67"/>
  <c r="X67" s="1"/>
  <c r="N67"/>
  <c r="O67"/>
  <c r="P67"/>
  <c r="Q67"/>
  <c r="L68"/>
  <c r="W68" s="1"/>
  <c r="M68"/>
  <c r="X68" s="1"/>
  <c r="N68"/>
  <c r="O68"/>
  <c r="P68"/>
  <c r="Q68"/>
  <c r="L69"/>
  <c r="W69" s="1"/>
  <c r="M69"/>
  <c r="X69" s="1"/>
  <c r="N69"/>
  <c r="O69"/>
  <c r="P69"/>
  <c r="Q69"/>
  <c r="L70"/>
  <c r="W70" s="1"/>
  <c r="M70"/>
  <c r="X70" s="1"/>
  <c r="N70"/>
  <c r="O70"/>
  <c r="P70"/>
  <c r="Q70"/>
  <c r="L71"/>
  <c r="W71" s="1"/>
  <c r="M71"/>
  <c r="X71" s="1"/>
  <c r="N71"/>
  <c r="O71"/>
  <c r="P71"/>
  <c r="Q71"/>
  <c r="L72"/>
  <c r="W72" s="1"/>
  <c r="M72"/>
  <c r="X72" s="1"/>
  <c r="N72"/>
  <c r="O72"/>
  <c r="P72"/>
  <c r="Q72"/>
  <c r="L73"/>
  <c r="W73" s="1"/>
  <c r="M73"/>
  <c r="X73" s="1"/>
  <c r="N73"/>
  <c r="O73"/>
  <c r="P73"/>
  <c r="Q73"/>
  <c r="L74"/>
  <c r="W74" s="1"/>
  <c r="M74"/>
  <c r="X74" s="1"/>
  <c r="N74"/>
  <c r="O74"/>
  <c r="P74"/>
  <c r="Q74"/>
  <c r="L75"/>
  <c r="W75" s="1"/>
  <c r="M75"/>
  <c r="X75" s="1"/>
  <c r="N75"/>
  <c r="O75"/>
  <c r="P75"/>
  <c r="Q75"/>
  <c r="L76"/>
  <c r="W76" s="1"/>
  <c r="M76"/>
  <c r="X76" s="1"/>
  <c r="N76"/>
  <c r="O76"/>
  <c r="P76"/>
  <c r="Q76"/>
  <c r="L77"/>
  <c r="W77" s="1"/>
  <c r="M77"/>
  <c r="X77" s="1"/>
  <c r="N77"/>
  <c r="O77"/>
  <c r="P77"/>
  <c r="Q77"/>
  <c r="L78"/>
  <c r="W78" s="1"/>
  <c r="M78"/>
  <c r="X78" s="1"/>
  <c r="N78"/>
  <c r="O78"/>
  <c r="P78"/>
  <c r="Q78"/>
  <c r="L79"/>
  <c r="W79" s="1"/>
  <c r="M79"/>
  <c r="X79" s="1"/>
  <c r="N79"/>
  <c r="O79"/>
  <c r="P79"/>
  <c r="Q79"/>
  <c r="L80"/>
  <c r="W80" s="1"/>
  <c r="M80"/>
  <c r="X80" s="1"/>
  <c r="N80"/>
  <c r="O80"/>
  <c r="P80"/>
  <c r="Q80"/>
  <c r="L81"/>
  <c r="W81" s="1"/>
  <c r="M81"/>
  <c r="X81" s="1"/>
  <c r="N81"/>
  <c r="O81"/>
  <c r="P81"/>
  <c r="Q81"/>
  <c r="L82"/>
  <c r="W82" s="1"/>
  <c r="M82"/>
  <c r="X82" s="1"/>
  <c r="N82"/>
  <c r="O82"/>
  <c r="P82"/>
  <c r="Q82"/>
  <c r="L83"/>
  <c r="W83" s="1"/>
  <c r="M83"/>
  <c r="X83" s="1"/>
  <c r="N83"/>
  <c r="O83"/>
  <c r="P83"/>
  <c r="Q83"/>
  <c r="L84"/>
  <c r="W84" s="1"/>
  <c r="M84"/>
  <c r="X84" s="1"/>
  <c r="N84"/>
  <c r="O84"/>
  <c r="P84"/>
  <c r="Q84"/>
  <c r="L85"/>
  <c r="W85" s="1"/>
  <c r="M85"/>
  <c r="X85" s="1"/>
  <c r="N85"/>
  <c r="O85"/>
  <c r="P85"/>
  <c r="Q85"/>
  <c r="L86"/>
  <c r="W86" s="1"/>
  <c r="M86"/>
  <c r="X86" s="1"/>
  <c r="N86"/>
  <c r="O86"/>
  <c r="P86"/>
  <c r="Q86"/>
  <c r="L87"/>
  <c r="W87" s="1"/>
  <c r="M87"/>
  <c r="X87" s="1"/>
  <c r="N87"/>
  <c r="O87"/>
  <c r="P87"/>
  <c r="Q87"/>
  <c r="L88"/>
  <c r="W88" s="1"/>
  <c r="M88"/>
  <c r="X88" s="1"/>
  <c r="N88"/>
  <c r="O88"/>
  <c r="P88"/>
  <c r="Q88"/>
  <c r="L89"/>
  <c r="W89" s="1"/>
  <c r="M89"/>
  <c r="X89" s="1"/>
  <c r="N89"/>
  <c r="O89"/>
  <c r="P89"/>
  <c r="Q89"/>
  <c r="L90"/>
  <c r="W90" s="1"/>
  <c r="M90"/>
  <c r="X90" s="1"/>
  <c r="N90"/>
  <c r="O90"/>
  <c r="P90"/>
  <c r="Q90"/>
  <c r="L91"/>
  <c r="W91" s="1"/>
  <c r="M91"/>
  <c r="X91" s="1"/>
  <c r="N91"/>
  <c r="O91"/>
  <c r="P91"/>
  <c r="Q91"/>
  <c r="L92"/>
  <c r="W92" s="1"/>
  <c r="M92"/>
  <c r="X92" s="1"/>
  <c r="N92"/>
  <c r="O92"/>
  <c r="P92"/>
  <c r="Q92"/>
  <c r="L93"/>
  <c r="W93" s="1"/>
  <c r="M93"/>
  <c r="X93" s="1"/>
  <c r="N93"/>
  <c r="O93"/>
  <c r="P93"/>
  <c r="Q93"/>
  <c r="L94"/>
  <c r="W94" s="1"/>
  <c r="M94"/>
  <c r="X94" s="1"/>
  <c r="N94"/>
  <c r="O94"/>
  <c r="P94"/>
  <c r="Q94"/>
  <c r="L95"/>
  <c r="W95" s="1"/>
  <c r="M95"/>
  <c r="X95" s="1"/>
  <c r="N95"/>
  <c r="O95"/>
  <c r="P95"/>
  <c r="Q95"/>
  <c r="L96"/>
  <c r="W96" s="1"/>
  <c r="M96"/>
  <c r="X96" s="1"/>
  <c r="N96"/>
  <c r="O96"/>
  <c r="P96"/>
  <c r="Q96"/>
  <c r="L97"/>
  <c r="W97" s="1"/>
  <c r="M97"/>
  <c r="X97" s="1"/>
  <c r="N97"/>
  <c r="O97"/>
  <c r="P97"/>
  <c r="Q97"/>
  <c r="L98"/>
  <c r="W98" s="1"/>
  <c r="M98"/>
  <c r="X98" s="1"/>
  <c r="N98"/>
  <c r="O98"/>
  <c r="P98"/>
  <c r="Q98"/>
  <c r="L99"/>
  <c r="W99" s="1"/>
  <c r="M99"/>
  <c r="X99" s="1"/>
  <c r="N99"/>
  <c r="O99"/>
  <c r="P99"/>
  <c r="Q99"/>
  <c r="L100"/>
  <c r="W100" s="1"/>
  <c r="M100"/>
  <c r="X100" s="1"/>
  <c r="N100"/>
  <c r="O100"/>
  <c r="P100"/>
  <c r="Q100"/>
  <c r="L101"/>
  <c r="W101" s="1"/>
  <c r="M101"/>
  <c r="X101" s="1"/>
  <c r="N101"/>
  <c r="O101"/>
  <c r="P101"/>
  <c r="Q101"/>
  <c r="L102"/>
  <c r="W102" s="1"/>
  <c r="M102"/>
  <c r="X102" s="1"/>
  <c r="N102"/>
  <c r="O102"/>
  <c r="P102"/>
  <c r="Q102"/>
  <c r="L103"/>
  <c r="W103" s="1"/>
  <c r="M103"/>
  <c r="X103" s="1"/>
  <c r="N103"/>
  <c r="O103"/>
  <c r="P103"/>
  <c r="Q103"/>
  <c r="L104"/>
  <c r="W104" s="1"/>
  <c r="M104"/>
  <c r="X104" s="1"/>
  <c r="N104"/>
  <c r="O104"/>
  <c r="P104"/>
  <c r="Q104"/>
  <c r="L105"/>
  <c r="W105" s="1"/>
  <c r="M105"/>
  <c r="X105" s="1"/>
  <c r="N105"/>
  <c r="O105"/>
  <c r="P105"/>
  <c r="Q105"/>
  <c r="L106"/>
  <c r="W106" s="1"/>
  <c r="M106"/>
  <c r="X106" s="1"/>
  <c r="N106"/>
  <c r="O106"/>
  <c r="P106"/>
  <c r="Q106"/>
  <c r="L107"/>
  <c r="W107" s="1"/>
  <c r="M107"/>
  <c r="X107" s="1"/>
  <c r="N107"/>
  <c r="O107"/>
  <c r="P107"/>
  <c r="Q107"/>
  <c r="L108"/>
  <c r="W108" s="1"/>
  <c r="M108"/>
  <c r="X108" s="1"/>
  <c r="N108"/>
  <c r="O108"/>
  <c r="P108"/>
  <c r="Q108"/>
  <c r="L109"/>
  <c r="W109" s="1"/>
  <c r="M109"/>
  <c r="X109" s="1"/>
  <c r="N109"/>
  <c r="O109"/>
  <c r="P109"/>
  <c r="Q109"/>
  <c r="L110"/>
  <c r="W110" s="1"/>
  <c r="M110"/>
  <c r="X110" s="1"/>
  <c r="N110"/>
  <c r="O110"/>
  <c r="P110"/>
  <c r="Q110"/>
  <c r="L111"/>
  <c r="W111" s="1"/>
  <c r="M111"/>
  <c r="X111" s="1"/>
  <c r="N111"/>
  <c r="O111"/>
  <c r="P111"/>
  <c r="Q111"/>
  <c r="L112"/>
  <c r="W112" s="1"/>
  <c r="M112"/>
  <c r="X112" s="1"/>
  <c r="N112"/>
  <c r="O112"/>
  <c r="P112"/>
  <c r="Q112"/>
  <c r="L113"/>
  <c r="W113" s="1"/>
  <c r="M113"/>
  <c r="X113" s="1"/>
  <c r="N113"/>
  <c r="O113"/>
  <c r="P113"/>
  <c r="Q113"/>
  <c r="L114"/>
  <c r="W114" s="1"/>
  <c r="M114"/>
  <c r="X114" s="1"/>
  <c r="N114"/>
  <c r="O114"/>
  <c r="P114"/>
  <c r="Q114"/>
  <c r="L115"/>
  <c r="W115" s="1"/>
  <c r="M115"/>
  <c r="X115" s="1"/>
  <c r="N115"/>
  <c r="O115"/>
  <c r="P115"/>
  <c r="Q115"/>
  <c r="L116"/>
  <c r="W116" s="1"/>
  <c r="M116"/>
  <c r="X116" s="1"/>
  <c r="N116"/>
  <c r="O116"/>
  <c r="P116"/>
  <c r="Q116"/>
  <c r="L117"/>
  <c r="W117" s="1"/>
  <c r="M117"/>
  <c r="X117" s="1"/>
  <c r="N117"/>
  <c r="O117"/>
  <c r="P117"/>
  <c r="Q117"/>
  <c r="L118"/>
  <c r="W118" s="1"/>
  <c r="M118"/>
  <c r="X118" s="1"/>
  <c r="N118"/>
  <c r="O118"/>
  <c r="P118"/>
  <c r="Q118"/>
  <c r="L119"/>
  <c r="W119" s="1"/>
  <c r="M119"/>
  <c r="X119" s="1"/>
  <c r="N119"/>
  <c r="O119"/>
  <c r="P119"/>
  <c r="Q119"/>
  <c r="L120"/>
  <c r="W120" s="1"/>
  <c r="M120"/>
  <c r="X120" s="1"/>
  <c r="N120"/>
  <c r="O120"/>
  <c r="P120"/>
  <c r="Q120"/>
  <c r="L121"/>
  <c r="W121" s="1"/>
  <c r="M121"/>
  <c r="X121" s="1"/>
  <c r="N121"/>
  <c r="O121"/>
  <c r="P121"/>
  <c r="Q121"/>
  <c r="L122"/>
  <c r="W122" s="1"/>
  <c r="M122"/>
  <c r="X122" s="1"/>
  <c r="N122"/>
  <c r="O122"/>
  <c r="P122"/>
  <c r="Q122"/>
  <c r="L123"/>
  <c r="W123" s="1"/>
  <c r="M123"/>
  <c r="X123" s="1"/>
  <c r="N123"/>
  <c r="O123"/>
  <c r="P123"/>
  <c r="Q123"/>
  <c r="L124"/>
  <c r="W124" s="1"/>
  <c r="M124"/>
  <c r="X124" s="1"/>
  <c r="N124"/>
  <c r="O124"/>
  <c r="P124"/>
  <c r="Q124"/>
  <c r="L125"/>
  <c r="W125" s="1"/>
  <c r="M125"/>
  <c r="X125" s="1"/>
  <c r="N125"/>
  <c r="O125"/>
  <c r="P125"/>
  <c r="Q125"/>
  <c r="L126"/>
  <c r="W126" s="1"/>
  <c r="M126"/>
  <c r="X126" s="1"/>
  <c r="N126"/>
  <c r="O126"/>
  <c r="P126"/>
  <c r="Q126"/>
  <c r="L127"/>
  <c r="W127" s="1"/>
  <c r="M127"/>
  <c r="X127" s="1"/>
  <c r="N127"/>
  <c r="O127"/>
  <c r="P127"/>
  <c r="Q127"/>
  <c r="L128"/>
  <c r="W128" s="1"/>
  <c r="M128"/>
  <c r="X128" s="1"/>
  <c r="N128"/>
  <c r="O128"/>
  <c r="P128"/>
  <c r="Q128"/>
  <c r="L129"/>
  <c r="W129" s="1"/>
  <c r="M129"/>
  <c r="X129" s="1"/>
  <c r="N129"/>
  <c r="O129"/>
  <c r="P129"/>
  <c r="Q129"/>
  <c r="L130"/>
  <c r="W130" s="1"/>
  <c r="M130"/>
  <c r="X130" s="1"/>
  <c r="N130"/>
  <c r="O130"/>
  <c r="P130"/>
  <c r="Q130"/>
  <c r="L131"/>
  <c r="W131" s="1"/>
  <c r="M131"/>
  <c r="X131" s="1"/>
  <c r="N131"/>
  <c r="O131"/>
  <c r="P131"/>
  <c r="Q131"/>
  <c r="L132"/>
  <c r="W132" s="1"/>
  <c r="M132"/>
  <c r="X132" s="1"/>
  <c r="N132"/>
  <c r="O132"/>
  <c r="P132"/>
  <c r="Q132"/>
  <c r="L133"/>
  <c r="W133" s="1"/>
  <c r="M133"/>
  <c r="X133" s="1"/>
  <c r="N133"/>
  <c r="O133"/>
  <c r="P133"/>
  <c r="Q133"/>
  <c r="L134"/>
  <c r="W134" s="1"/>
  <c r="M134"/>
  <c r="X134" s="1"/>
  <c r="N134"/>
  <c r="O134"/>
  <c r="P134"/>
  <c r="Q134"/>
  <c r="L135"/>
  <c r="W135" s="1"/>
  <c r="M135"/>
  <c r="X135" s="1"/>
  <c r="N135"/>
  <c r="O135"/>
  <c r="P135"/>
  <c r="Q135"/>
  <c r="L136"/>
  <c r="W136" s="1"/>
  <c r="M136"/>
  <c r="X136" s="1"/>
  <c r="N136"/>
  <c r="O136"/>
  <c r="P136"/>
  <c r="Q136"/>
  <c r="L137"/>
  <c r="W137" s="1"/>
  <c r="M137"/>
  <c r="X137" s="1"/>
  <c r="N137"/>
  <c r="O137"/>
  <c r="P137"/>
  <c r="Q137"/>
  <c r="J63" i="3"/>
  <c r="N63"/>
  <c r="O63"/>
  <c r="V40" i="5" l="1"/>
  <c r="V115"/>
  <c r="V31"/>
  <c r="V91"/>
  <c r="V39"/>
  <c r="V124"/>
  <c r="V75"/>
  <c r="V71"/>
  <c r="V59"/>
  <c r="V129"/>
  <c r="V48"/>
  <c r="V32"/>
  <c r="V73"/>
  <c r="V94"/>
  <c r="V85"/>
  <c r="V83"/>
  <c r="V78"/>
  <c r="V77"/>
  <c r="V53"/>
  <c r="V51"/>
  <c r="V46"/>
  <c r="V45"/>
  <c r="V28"/>
  <c r="V105"/>
  <c r="V64"/>
  <c r="V61"/>
  <c r="V69"/>
  <c r="V130"/>
  <c r="V103"/>
  <c r="V101"/>
  <c r="V95"/>
  <c r="V86"/>
  <c r="V81"/>
  <c r="V79"/>
  <c r="V54"/>
  <c r="V49"/>
  <c r="V47"/>
  <c r="V29"/>
  <c r="V136"/>
  <c r="V133"/>
  <c r="V108"/>
  <c r="V97"/>
  <c r="V93"/>
  <c r="V70"/>
  <c r="V67"/>
  <c r="V65"/>
  <c r="V63"/>
  <c r="V41"/>
  <c r="V33"/>
  <c r="V128"/>
  <c r="V120"/>
  <c r="V112"/>
  <c r="V107"/>
  <c r="V99"/>
  <c r="V96"/>
  <c r="V89"/>
  <c r="V87"/>
  <c r="V62"/>
  <c r="V57"/>
  <c r="V55"/>
  <c r="V38"/>
  <c r="V37"/>
  <c r="V30"/>
  <c r="V110"/>
  <c r="V102"/>
  <c r="V80"/>
  <c r="V109"/>
  <c r="V72"/>
  <c r="V88"/>
  <c r="V56"/>
  <c r="V43"/>
  <c r="V35"/>
  <c r="V137"/>
  <c r="V131"/>
  <c r="V125"/>
  <c r="V121"/>
  <c r="V117"/>
  <c r="V113"/>
  <c r="V90"/>
  <c r="V82"/>
  <c r="V74"/>
  <c r="V66"/>
  <c r="V58"/>
  <c r="V50"/>
  <c r="V42"/>
  <c r="V34"/>
  <c r="V104"/>
  <c r="V135"/>
  <c r="V127"/>
  <c r="V123"/>
  <c r="V119"/>
  <c r="V116"/>
  <c r="V111"/>
  <c r="V106"/>
  <c r="V100"/>
  <c r="V98"/>
  <c r="V92"/>
  <c r="V84"/>
  <c r="V76"/>
  <c r="V68"/>
  <c r="V60"/>
  <c r="V52"/>
  <c r="V44"/>
  <c r="V36"/>
  <c r="V114"/>
  <c r="V134"/>
  <c r="V132"/>
  <c r="V126"/>
  <c r="V122"/>
  <c r="V118"/>
  <c r="D11" i="7"/>
  <c r="D10"/>
  <c r="D9"/>
  <c r="L5" i="5"/>
  <c r="W5" s="1"/>
  <c r="M5"/>
  <c r="X5" s="1"/>
  <c r="N5"/>
  <c r="O5"/>
  <c r="P5"/>
  <c r="Q5"/>
  <c r="L6"/>
  <c r="W6" s="1"/>
  <c r="M6"/>
  <c r="X6" s="1"/>
  <c r="N6"/>
  <c r="O6"/>
  <c r="P6"/>
  <c r="Q6"/>
  <c r="L7"/>
  <c r="W7" s="1"/>
  <c r="M7"/>
  <c r="X7" s="1"/>
  <c r="N7"/>
  <c r="O7"/>
  <c r="P7"/>
  <c r="Q7"/>
  <c r="L8"/>
  <c r="W8" s="1"/>
  <c r="M8"/>
  <c r="X8" s="1"/>
  <c r="N8"/>
  <c r="O8"/>
  <c r="P8"/>
  <c r="Q8"/>
  <c r="L9"/>
  <c r="W9" s="1"/>
  <c r="M9"/>
  <c r="X9" s="1"/>
  <c r="N9"/>
  <c r="O9"/>
  <c r="P9"/>
  <c r="Q9"/>
  <c r="L10"/>
  <c r="W10" s="1"/>
  <c r="M10"/>
  <c r="X10" s="1"/>
  <c r="N10"/>
  <c r="O10"/>
  <c r="P10"/>
  <c r="Q10"/>
  <c r="L11"/>
  <c r="W11" s="1"/>
  <c r="M11"/>
  <c r="X11" s="1"/>
  <c r="N11"/>
  <c r="O11"/>
  <c r="P11"/>
  <c r="Q11"/>
  <c r="L12"/>
  <c r="W12" s="1"/>
  <c r="M12"/>
  <c r="X12" s="1"/>
  <c r="N12"/>
  <c r="O12"/>
  <c r="P12"/>
  <c r="Q12"/>
  <c r="L13"/>
  <c r="W13" s="1"/>
  <c r="M13"/>
  <c r="X13" s="1"/>
  <c r="N13"/>
  <c r="O13"/>
  <c r="P13"/>
  <c r="Q13"/>
  <c r="L14"/>
  <c r="W14" s="1"/>
  <c r="M14"/>
  <c r="X14" s="1"/>
  <c r="N14"/>
  <c r="O14"/>
  <c r="P14"/>
  <c r="Q14"/>
  <c r="L15"/>
  <c r="W15" s="1"/>
  <c r="M15"/>
  <c r="X15" s="1"/>
  <c r="N15"/>
  <c r="O15"/>
  <c r="P15"/>
  <c r="Q15"/>
  <c r="L16"/>
  <c r="W16" s="1"/>
  <c r="M16"/>
  <c r="X16" s="1"/>
  <c r="N16"/>
  <c r="O16"/>
  <c r="P16"/>
  <c r="Q16"/>
  <c r="L17"/>
  <c r="W17" s="1"/>
  <c r="M17"/>
  <c r="X17" s="1"/>
  <c r="N17"/>
  <c r="O17"/>
  <c r="P17"/>
  <c r="Q17"/>
  <c r="L18"/>
  <c r="W18" s="1"/>
  <c r="M18"/>
  <c r="X18" s="1"/>
  <c r="N18"/>
  <c r="O18"/>
  <c r="P18"/>
  <c r="Q18"/>
  <c r="L19"/>
  <c r="W19" s="1"/>
  <c r="M19"/>
  <c r="X19" s="1"/>
  <c r="N19"/>
  <c r="O19"/>
  <c r="P19"/>
  <c r="Q19"/>
  <c r="L20"/>
  <c r="W20" s="1"/>
  <c r="M20"/>
  <c r="X20" s="1"/>
  <c r="N20"/>
  <c r="O20"/>
  <c r="P20"/>
  <c r="Q20"/>
  <c r="L21"/>
  <c r="W21" s="1"/>
  <c r="M21"/>
  <c r="X21" s="1"/>
  <c r="N21"/>
  <c r="O21"/>
  <c r="P21"/>
  <c r="Q21"/>
  <c r="L22"/>
  <c r="W22" s="1"/>
  <c r="M22"/>
  <c r="X22" s="1"/>
  <c r="N22"/>
  <c r="O22"/>
  <c r="P22"/>
  <c r="Q22"/>
  <c r="L23"/>
  <c r="W23" s="1"/>
  <c r="M23"/>
  <c r="X23" s="1"/>
  <c r="N23"/>
  <c r="O23"/>
  <c r="P23"/>
  <c r="Q23"/>
  <c r="L24"/>
  <c r="W24" s="1"/>
  <c r="M24"/>
  <c r="X24" s="1"/>
  <c r="N24"/>
  <c r="O24"/>
  <c r="P24"/>
  <c r="Q24"/>
  <c r="L25"/>
  <c r="W25" s="1"/>
  <c r="M25"/>
  <c r="X25" s="1"/>
  <c r="N25"/>
  <c r="O25"/>
  <c r="P25"/>
  <c r="Q25"/>
  <c r="L26"/>
  <c r="W26" s="1"/>
  <c r="M26"/>
  <c r="X26" s="1"/>
  <c r="N26"/>
  <c r="O26"/>
  <c r="P26"/>
  <c r="Q26"/>
  <c r="L27"/>
  <c r="W27" s="1"/>
  <c r="M27"/>
  <c r="X27" s="1"/>
  <c r="N27"/>
  <c r="O27"/>
  <c r="P27"/>
  <c r="Q27"/>
  <c r="O85" i="3"/>
  <c r="N85"/>
  <c r="J85"/>
  <c r="O150"/>
  <c r="N150"/>
  <c r="O149"/>
  <c r="N149"/>
  <c r="O81"/>
  <c r="N81"/>
  <c r="J81"/>
  <c r="O80"/>
  <c r="N80"/>
  <c r="N75"/>
  <c r="O56"/>
  <c r="N56"/>
  <c r="N55"/>
  <c r="O55"/>
  <c r="N54"/>
  <c r="O54"/>
  <c r="N57"/>
  <c r="O57"/>
  <c r="N58"/>
  <c r="O58"/>
  <c r="N59"/>
  <c r="O59"/>
  <c r="N60"/>
  <c r="O60"/>
  <c r="N61"/>
  <c r="O61"/>
  <c r="N71"/>
  <c r="O71"/>
  <c r="A35" i="20"/>
  <c r="B35"/>
  <c r="C35"/>
  <c r="D35"/>
  <c r="E35"/>
  <c r="F35"/>
  <c r="G35"/>
  <c r="E17"/>
  <c r="F17"/>
  <c r="G17"/>
  <c r="C17"/>
  <c r="B17"/>
  <c r="J162" i="3"/>
  <c r="N162"/>
  <c r="O162"/>
  <c r="J163"/>
  <c r="N163"/>
  <c r="O163"/>
  <c r="G28" i="8"/>
  <c r="J28"/>
  <c r="B43" i="6"/>
  <c r="D43" s="1"/>
  <c r="V22" i="5" l="1"/>
  <c r="V27"/>
  <c r="V21"/>
  <c r="V26"/>
  <c r="V18"/>
  <c r="V20"/>
  <c r="V24"/>
  <c r="V16"/>
  <c r="V23"/>
  <c r="V15"/>
  <c r="V13"/>
  <c r="V11"/>
  <c r="V9"/>
  <c r="V7"/>
  <c r="V5"/>
  <c r="V14"/>
  <c r="V12"/>
  <c r="V10"/>
  <c r="V8"/>
  <c r="V6"/>
  <c r="V25"/>
  <c r="V17"/>
  <c r="V19"/>
  <c r="K28" i="8"/>
  <c r="D4" i="7"/>
  <c r="C4" i="26"/>
  <c r="O26" i="6"/>
  <c r="N26" s="1"/>
  <c r="B6" i="26"/>
  <c r="E68" i="12"/>
  <c r="E70"/>
  <c r="E72"/>
  <c r="E74"/>
  <c r="L4" i="26"/>
  <c r="N4" s="1"/>
  <c r="L5"/>
  <c r="N5" s="1"/>
  <c r="L6"/>
  <c r="N6" s="1"/>
  <c r="L7"/>
  <c r="N7" s="1"/>
  <c r="L8"/>
  <c r="N8" s="1"/>
  <c r="L9"/>
  <c r="N9" s="1"/>
  <c r="L10"/>
  <c r="N10" s="1"/>
  <c r="L11"/>
  <c r="N11" s="1"/>
  <c r="L12"/>
  <c r="N12" s="1"/>
  <c r="L3"/>
  <c r="N3" s="1"/>
  <c r="C2"/>
  <c r="C3"/>
  <c r="F4"/>
  <c r="H4" s="1"/>
  <c r="F3"/>
  <c r="H3" s="1"/>
  <c r="D23" i="15"/>
  <c r="O148" i="3"/>
  <c r="N148"/>
  <c r="O147"/>
  <c r="N147"/>
  <c r="O146"/>
  <c r="N146"/>
  <c r="O145"/>
  <c r="N145"/>
  <c r="H80" i="5"/>
  <c r="D16" i="7"/>
  <c r="C16"/>
  <c r="B66" i="12" l="1"/>
  <c r="O4" i="26" s="1"/>
  <c r="B57" i="12"/>
  <c r="B65"/>
  <c r="O3" i="26" s="1"/>
  <c r="C5"/>
  <c r="B56" i="12"/>
  <c r="B55"/>
  <c r="B73"/>
  <c r="O11" i="26" s="1"/>
  <c r="B60" i="12"/>
  <c r="C23" i="26" s="1"/>
  <c r="B69" i="12"/>
  <c r="O7" i="26" s="1"/>
  <c r="M7" s="1"/>
  <c r="B64" i="12"/>
  <c r="B22" i="26" s="1"/>
  <c r="B71" i="12"/>
  <c r="O9" i="26" s="1"/>
  <c r="M9" s="1"/>
  <c r="B67" i="12"/>
  <c r="O5" i="26" s="1"/>
  <c r="M5" s="1"/>
  <c r="M4"/>
  <c r="M3"/>
  <c r="M11"/>
  <c r="B59" i="12"/>
  <c r="B74"/>
  <c r="O12" i="26" s="1"/>
  <c r="M12" s="1"/>
  <c r="B72" i="12"/>
  <c r="O10" i="26" s="1"/>
  <c r="M10" s="1"/>
  <c r="B70" i="12"/>
  <c r="O8" i="26" s="1"/>
  <c r="M8" s="1"/>
  <c r="B68" i="12"/>
  <c r="O6" i="26" s="1"/>
  <c r="M6" s="1"/>
  <c r="C22" l="1"/>
  <c r="B23"/>
  <c r="B20"/>
  <c r="B19"/>
  <c r="C20"/>
  <c r="C19"/>
  <c r="M2"/>
  <c r="C21" s="1"/>
  <c r="O53" i="3"/>
  <c r="N53"/>
  <c r="O52"/>
  <c r="N52"/>
  <c r="O44"/>
  <c r="N44"/>
  <c r="H121" i="5"/>
  <c r="G121"/>
  <c r="F121"/>
  <c r="E121"/>
  <c r="J50" i="3"/>
  <c r="O51"/>
  <c r="N51"/>
  <c r="J51"/>
  <c r="O50"/>
  <c r="N50"/>
  <c r="F22" i="25"/>
  <c r="G22"/>
  <c r="H22"/>
  <c r="D12"/>
  <c r="D13"/>
  <c r="D11"/>
  <c r="L7"/>
  <c r="K7"/>
  <c r="G7"/>
  <c r="H7"/>
  <c r="I7"/>
  <c r="J7"/>
  <c r="F7"/>
  <c r="D7"/>
  <c r="E7"/>
  <c r="C7"/>
  <c r="L30"/>
  <c r="K30"/>
  <c r="L29"/>
  <c r="K29"/>
  <c r="F30"/>
  <c r="G30"/>
  <c r="H30"/>
  <c r="I30"/>
  <c r="J30"/>
  <c r="G29"/>
  <c r="H29"/>
  <c r="I29"/>
  <c r="J29"/>
  <c r="F29"/>
  <c r="D30"/>
  <c r="E30"/>
  <c r="C30"/>
  <c r="D29"/>
  <c r="E29"/>
  <c r="C29"/>
  <c r="B21" i="26" l="1"/>
  <c r="C19" i="25"/>
  <c r="D19"/>
  <c r="E19"/>
  <c r="F19"/>
  <c r="G19"/>
  <c r="H19"/>
  <c r="I19"/>
  <c r="J19"/>
  <c r="C20"/>
  <c r="D20"/>
  <c r="E20"/>
  <c r="F20"/>
  <c r="G20"/>
  <c r="H20"/>
  <c r="I20"/>
  <c r="J20"/>
  <c r="C21"/>
  <c r="D21"/>
  <c r="E21"/>
  <c r="F21"/>
  <c r="G21"/>
  <c r="H21"/>
  <c r="I21"/>
  <c r="J21"/>
  <c r="C22"/>
  <c r="D22"/>
  <c r="E22"/>
  <c r="I22"/>
  <c r="J22"/>
  <c r="C23"/>
  <c r="D23"/>
  <c r="E23"/>
  <c r="F23"/>
  <c r="G23"/>
  <c r="H23"/>
  <c r="I23"/>
  <c r="J23"/>
  <c r="B20"/>
  <c r="B21"/>
  <c r="B22"/>
  <c r="B23"/>
  <c r="B19"/>
  <c r="K73" i="5"/>
  <c r="J41" i="3"/>
  <c r="N41"/>
  <c r="O41"/>
  <c r="J42"/>
  <c r="N42"/>
  <c r="O42"/>
  <c r="C24" i="5" l="1"/>
  <c r="J161" i="3" l="1"/>
  <c r="J165"/>
  <c r="J166"/>
  <c r="D9" i="19"/>
  <c r="N165" i="3"/>
  <c r="O165"/>
  <c r="O1" i="24"/>
  <c r="J9" i="19"/>
  <c r="H109" i="5"/>
  <c r="H110"/>
  <c r="H111"/>
  <c r="H112"/>
  <c r="H113"/>
  <c r="H114"/>
  <c r="H115"/>
  <c r="H116"/>
  <c r="O15" i="6"/>
  <c r="Q22" i="2"/>
  <c r="R22" s="1"/>
  <c r="Q21"/>
  <c r="R21" s="1"/>
  <c r="Q20"/>
  <c r="R20" s="1"/>
  <c r="Q19"/>
  <c r="R19" s="1"/>
  <c r="Q18"/>
  <c r="R18" s="1"/>
  <c r="Q17"/>
  <c r="R17" s="1"/>
  <c r="Q16"/>
  <c r="R16" s="1"/>
  <c r="Q15"/>
  <c r="R15" s="1"/>
  <c r="Q14"/>
  <c r="R14" s="1"/>
  <c r="Q13"/>
  <c r="R13" s="1"/>
  <c r="Q12"/>
  <c r="R12" s="1"/>
  <c r="Q11"/>
  <c r="R11" s="1"/>
  <c r="Q10"/>
  <c r="R10" s="1"/>
  <c r="Q9"/>
  <c r="R9" s="1"/>
  <c r="Q8"/>
  <c r="R8" s="1"/>
  <c r="Q7"/>
  <c r="R7" s="1"/>
  <c r="Q6"/>
  <c r="R6" s="1"/>
  <c r="Q5"/>
  <c r="R5" s="1"/>
  <c r="Q4"/>
  <c r="R4" s="1"/>
  <c r="Q3"/>
  <c r="R3" s="1"/>
  <c r="V2" i="5"/>
  <c r="N3" i="2"/>
  <c r="O23"/>
  <c r="N23"/>
  <c r="I23"/>
  <c r="L241" i="3"/>
  <c r="K244" s="1"/>
  <c r="A139" i="5"/>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138"/>
  <c r="D39" i="21"/>
  <c r="D38"/>
  <c r="D37"/>
  <c r="D36"/>
  <c r="D35"/>
  <c r="D34"/>
  <c r="D33"/>
  <c r="D32"/>
  <c r="D31"/>
  <c r="D30"/>
  <c r="D29"/>
  <c r="D28"/>
  <c r="D27"/>
  <c r="D26"/>
  <c r="D25"/>
  <c r="D24"/>
  <c r="D23"/>
  <c r="D22"/>
  <c r="D21"/>
  <c r="D20"/>
  <c r="D19"/>
  <c r="D18"/>
  <c r="D17"/>
  <c r="D16"/>
  <c r="D15"/>
  <c r="D14"/>
  <c r="D13"/>
  <c r="D12"/>
  <c r="D11"/>
  <c r="D10"/>
  <c r="D9"/>
  <c r="D8"/>
  <c r="D7"/>
  <c r="D6"/>
  <c r="D5"/>
  <c r="U126" i="5" l="1"/>
  <c r="U102"/>
  <c r="U84"/>
  <c r="U79"/>
  <c r="U54"/>
  <c r="U100"/>
  <c r="U63"/>
  <c r="U116"/>
  <c r="U35"/>
  <c r="U112"/>
  <c r="U105"/>
  <c r="U60"/>
  <c r="U42"/>
  <c r="U88"/>
  <c r="U107"/>
  <c r="U47"/>
  <c r="U46"/>
  <c r="U39"/>
  <c r="U52"/>
  <c r="U34"/>
  <c r="U56"/>
  <c r="U99"/>
  <c r="U29"/>
  <c r="U124"/>
  <c r="U57"/>
  <c r="U75"/>
  <c r="U130"/>
  <c r="U132"/>
  <c r="U125"/>
  <c r="U98"/>
  <c r="U121"/>
  <c r="U89"/>
  <c r="U86"/>
  <c r="U114"/>
  <c r="U127"/>
  <c r="U137"/>
  <c r="U87"/>
  <c r="U108"/>
  <c r="U64"/>
  <c r="U59"/>
  <c r="U134"/>
  <c r="U123"/>
  <c r="U131"/>
  <c r="U62"/>
  <c r="U97"/>
  <c r="U61"/>
  <c r="U129"/>
  <c r="U104"/>
  <c r="U30"/>
  <c r="U93"/>
  <c r="U69"/>
  <c r="U48"/>
  <c r="U36"/>
  <c r="U49"/>
  <c r="U32"/>
  <c r="U58"/>
  <c r="U68"/>
  <c r="U82"/>
  <c r="U55"/>
  <c r="U133"/>
  <c r="U122"/>
  <c r="U111"/>
  <c r="U117"/>
  <c r="U38"/>
  <c r="U67"/>
  <c r="U103"/>
  <c r="U73"/>
  <c r="U118"/>
  <c r="U106"/>
  <c r="U113"/>
  <c r="U37"/>
  <c r="U65"/>
  <c r="U101"/>
  <c r="U94"/>
  <c r="U44"/>
  <c r="U109"/>
  <c r="U120"/>
  <c r="U95"/>
  <c r="U85"/>
  <c r="U76"/>
  <c r="U41"/>
  <c r="U83"/>
  <c r="U119"/>
  <c r="U50"/>
  <c r="U110"/>
  <c r="U70"/>
  <c r="U71"/>
  <c r="U92"/>
  <c r="U74"/>
  <c r="U33"/>
  <c r="U81"/>
  <c r="U78"/>
  <c r="U40"/>
  <c r="U66"/>
  <c r="U80"/>
  <c r="U128"/>
  <c r="U77"/>
  <c r="U115"/>
  <c r="U43"/>
  <c r="U96"/>
  <c r="U53"/>
  <c r="U31"/>
  <c r="U72"/>
  <c r="U51"/>
  <c r="U45"/>
  <c r="U90"/>
  <c r="U136"/>
  <c r="U28"/>
  <c r="U135"/>
  <c r="U91"/>
  <c r="U21"/>
  <c r="U10"/>
  <c r="U18"/>
  <c r="U9"/>
  <c r="U17"/>
  <c r="U27"/>
  <c r="U24"/>
  <c r="U12"/>
  <c r="U23"/>
  <c r="U11"/>
  <c r="U20"/>
  <c r="U14"/>
  <c r="U6"/>
  <c r="U26"/>
  <c r="U13"/>
  <c r="U5"/>
  <c r="U25"/>
  <c r="U19"/>
  <c r="U16"/>
  <c r="U8"/>
  <c r="U15"/>
  <c r="U7"/>
  <c r="U22"/>
  <c r="K313" i="3"/>
  <c r="K311"/>
  <c r="K309"/>
  <c r="K307"/>
  <c r="K305"/>
  <c r="K303"/>
  <c r="K301"/>
  <c r="K299"/>
  <c r="K297"/>
  <c r="K295"/>
  <c r="K293"/>
  <c r="K291"/>
  <c r="K289"/>
  <c r="K287"/>
  <c r="K285"/>
  <c r="K283"/>
  <c r="K281"/>
  <c r="K279"/>
  <c r="K277"/>
  <c r="K275"/>
  <c r="K273"/>
  <c r="K271"/>
  <c r="K269"/>
  <c r="K267"/>
  <c r="K265"/>
  <c r="K263"/>
  <c r="K261"/>
  <c r="K259"/>
  <c r="K257"/>
  <c r="K255"/>
  <c r="K253"/>
  <c r="K251"/>
  <c r="K249"/>
  <c r="K247"/>
  <c r="K245"/>
  <c r="K243"/>
  <c r="K242"/>
  <c r="K312"/>
  <c r="K310"/>
  <c r="K308"/>
  <c r="K306"/>
  <c r="K304"/>
  <c r="K302"/>
  <c r="K300"/>
  <c r="K298"/>
  <c r="K296"/>
  <c r="K294"/>
  <c r="K292"/>
  <c r="K290"/>
  <c r="K288"/>
  <c r="K286"/>
  <c r="K284"/>
  <c r="K282"/>
  <c r="K280"/>
  <c r="K278"/>
  <c r="K276"/>
  <c r="K274"/>
  <c r="K272"/>
  <c r="K270"/>
  <c r="K268"/>
  <c r="K266"/>
  <c r="K264"/>
  <c r="K262"/>
  <c r="K260"/>
  <c r="K258"/>
  <c r="K256"/>
  <c r="K254"/>
  <c r="K252"/>
  <c r="K250"/>
  <c r="K248"/>
  <c r="K246"/>
  <c r="G60" i="7"/>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59"/>
  <c r="D4" i="19"/>
  <c r="A24" i="5"/>
  <c r="A33" i="15"/>
  <c r="B33"/>
  <c r="G222" i="3"/>
  <c r="I33" i="15" s="1"/>
  <c r="M35"/>
  <c r="M36"/>
  <c r="M37"/>
  <c r="M38"/>
  <c r="M39"/>
  <c r="M40"/>
  <c r="M41"/>
  <c r="M42"/>
  <c r="M43"/>
  <c r="M44"/>
  <c r="M34"/>
  <c r="J58" i="7"/>
  <c r="I58"/>
  <c r="K29" i="8"/>
  <c r="K24"/>
  <c r="J25"/>
  <c r="J46"/>
  <c r="A32" i="15"/>
  <c r="B32"/>
  <c r="C32"/>
  <c r="D32"/>
  <c r="E32"/>
  <c r="F32"/>
  <c r="G32"/>
  <c r="G221" i="3"/>
  <c r="I32" i="15" s="1"/>
  <c r="J32" s="1"/>
  <c r="K32" s="1"/>
  <c r="L3"/>
  <c r="G191" i="3"/>
  <c r="I3" i="15" s="1"/>
  <c r="J3" s="1"/>
  <c r="M48"/>
  <c r="M49"/>
  <c r="M50"/>
  <c r="M51"/>
  <c r="M52"/>
  <c r="A47"/>
  <c r="B47"/>
  <c r="C47"/>
  <c r="D47"/>
  <c r="E47"/>
  <c r="F47"/>
  <c r="G47"/>
  <c r="A48"/>
  <c r="B48"/>
  <c r="C48"/>
  <c r="D48"/>
  <c r="K48" s="1"/>
  <c r="E48"/>
  <c r="F48"/>
  <c r="G48"/>
  <c r="A49"/>
  <c r="B49"/>
  <c r="C49"/>
  <c r="D49"/>
  <c r="K49" s="1"/>
  <c r="E49"/>
  <c r="F49"/>
  <c r="G49"/>
  <c r="A50"/>
  <c r="B50"/>
  <c r="C50"/>
  <c r="D50"/>
  <c r="K50" s="1"/>
  <c r="E50"/>
  <c r="F50"/>
  <c r="G50"/>
  <c r="A51"/>
  <c r="B51"/>
  <c r="C51"/>
  <c r="D51"/>
  <c r="K51" s="1"/>
  <c r="E51"/>
  <c r="F51"/>
  <c r="G51"/>
  <c r="A52"/>
  <c r="B52"/>
  <c r="C52"/>
  <c r="D52"/>
  <c r="K52" s="1"/>
  <c r="E52"/>
  <c r="F52"/>
  <c r="G52"/>
  <c r="G235" i="3"/>
  <c r="I48" i="15" s="1"/>
  <c r="J48" s="1"/>
  <c r="G236" i="3"/>
  <c r="I49" i="15" s="1"/>
  <c r="J49" s="1"/>
  <c r="G237" i="3"/>
  <c r="I50" i="15" s="1"/>
  <c r="J50" s="1"/>
  <c r="G238" i="3"/>
  <c r="I51" i="15" s="1"/>
  <c r="J51" s="1"/>
  <c r="G239" i="3"/>
  <c r="I52" i="15" s="1"/>
  <c r="J52" s="1"/>
  <c r="G234" i="3"/>
  <c r="I47" i="15" s="1"/>
  <c r="J47" s="1"/>
  <c r="K47" s="1"/>
  <c r="H72" i="5"/>
  <c r="C8" i="7"/>
  <c r="D8"/>
  <c r="D19"/>
  <c r="D20"/>
  <c r="D21"/>
  <c r="D22"/>
  <c r="D23"/>
  <c r="C5"/>
  <c r="C6"/>
  <c r="C7"/>
  <c r="C9"/>
  <c r="C10"/>
  <c r="C11"/>
  <c r="C12"/>
  <c r="C13"/>
  <c r="C14"/>
  <c r="C15"/>
  <c r="C4"/>
  <c r="D15"/>
  <c r="D5"/>
  <c r="D6"/>
  <c r="D7"/>
  <c r="F209" i="20"/>
  <c r="F208"/>
  <c r="E209"/>
  <c r="E208"/>
  <c r="C214"/>
  <c r="C213"/>
  <c r="B26" i="7"/>
  <c r="A31" s="1"/>
  <c r="B29"/>
  <c r="D28" s="1"/>
  <c r="P241" i="3" l="1"/>
  <c r="V24" i="6"/>
  <c r="W24" s="1"/>
  <c r="K33" i="15"/>
  <c r="J33"/>
  <c r="G208" i="20"/>
  <c r="G209"/>
  <c r="A34" i="7"/>
  <c r="A32"/>
  <c r="C208" i="20"/>
  <c r="A35" i="7"/>
  <c r="A33"/>
  <c r="O28"/>
  <c r="M28"/>
  <c r="K28"/>
  <c r="I28"/>
  <c r="G28"/>
  <c r="E28"/>
  <c r="C28"/>
  <c r="N28"/>
  <c r="L28"/>
  <c r="J28"/>
  <c r="H28"/>
  <c r="F28"/>
  <c r="X24" i="6" l="1"/>
  <c r="F26" i="7"/>
  <c r="O26"/>
  <c r="K26"/>
  <c r="G26"/>
  <c r="C26"/>
  <c r="L26"/>
  <c r="H26"/>
  <c r="D26"/>
  <c r="B28"/>
  <c r="M26"/>
  <c r="I26"/>
  <c r="E26"/>
  <c r="N26"/>
  <c r="J26"/>
  <c r="Y24" i="6" l="1"/>
  <c r="Z24" s="1"/>
  <c r="A26" i="7"/>
  <c r="F4" i="19" s="1"/>
  <c r="G4" l="1"/>
  <c r="G24" i="5"/>
  <c r="G69" i="21"/>
  <c r="G70"/>
  <c r="G68"/>
  <c r="G67"/>
  <c r="G66"/>
  <c r="G63"/>
  <c r="G49"/>
  <c r="G44"/>
  <c r="G45"/>
  <c r="G46"/>
  <c r="G47"/>
  <c r="G48"/>
  <c r="G50"/>
  <c r="G51"/>
  <c r="G52"/>
  <c r="G53"/>
  <c r="G54"/>
  <c r="G55"/>
  <c r="G56"/>
  <c r="G57"/>
  <c r="G58"/>
  <c r="G59"/>
  <c r="G60"/>
  <c r="G61"/>
  <c r="G62"/>
  <c r="L42"/>
  <c r="J42"/>
  <c r="K42"/>
  <c r="I42"/>
  <c r="I67" s="1"/>
  <c r="O144" i="3"/>
  <c r="N144"/>
  <c r="J144"/>
  <c r="O142"/>
  <c r="N142"/>
  <c r="O141"/>
  <c r="N141"/>
  <c r="A43" i="15"/>
  <c r="B43"/>
  <c r="C43"/>
  <c r="D43"/>
  <c r="K43" s="1"/>
  <c r="E43"/>
  <c r="F43"/>
  <c r="G43"/>
  <c r="A44"/>
  <c r="B44"/>
  <c r="C44"/>
  <c r="D44"/>
  <c r="K44" s="1"/>
  <c r="E44"/>
  <c r="F44"/>
  <c r="G44"/>
  <c r="A34"/>
  <c r="B34"/>
  <c r="C34"/>
  <c r="D34"/>
  <c r="E34"/>
  <c r="F34"/>
  <c r="G34"/>
  <c r="A35"/>
  <c r="B35"/>
  <c r="C35"/>
  <c r="D35"/>
  <c r="E35"/>
  <c r="F35"/>
  <c r="G35"/>
  <c r="A36"/>
  <c r="B36"/>
  <c r="C36"/>
  <c r="D36"/>
  <c r="E36"/>
  <c r="F36"/>
  <c r="G36"/>
  <c r="A37"/>
  <c r="B37"/>
  <c r="C37"/>
  <c r="D37"/>
  <c r="E37"/>
  <c r="F37"/>
  <c r="G37"/>
  <c r="A38"/>
  <c r="B38"/>
  <c r="C38"/>
  <c r="D38"/>
  <c r="E38"/>
  <c r="F38"/>
  <c r="G38"/>
  <c r="A39"/>
  <c r="B39"/>
  <c r="C39"/>
  <c r="D39"/>
  <c r="E39"/>
  <c r="F39"/>
  <c r="G39"/>
  <c r="A40"/>
  <c r="B40"/>
  <c r="C40"/>
  <c r="D40"/>
  <c r="E40"/>
  <c r="F40"/>
  <c r="G40"/>
  <c r="A41"/>
  <c r="B41"/>
  <c r="C41"/>
  <c r="D41"/>
  <c r="E41"/>
  <c r="F41"/>
  <c r="G41"/>
  <c r="A42"/>
  <c r="B42"/>
  <c r="C42"/>
  <c r="D42"/>
  <c r="E42"/>
  <c r="F42"/>
  <c r="G42"/>
  <c r="G233" i="3"/>
  <c r="I44" i="15" s="1"/>
  <c r="J44" s="1"/>
  <c r="G232" i="3"/>
  <c r="I43" i="15" s="1"/>
  <c r="J43" s="1"/>
  <c r="G227" i="3"/>
  <c r="I38" i="15" s="1"/>
  <c r="J38" s="1"/>
  <c r="G228" i="3"/>
  <c r="I39" i="15" s="1"/>
  <c r="J39" s="1"/>
  <c r="G229" i="3"/>
  <c r="I40" i="15" s="1"/>
  <c r="J40" s="1"/>
  <c r="G230" i="3"/>
  <c r="I41" i="15" s="1"/>
  <c r="J41" s="1"/>
  <c r="G231" i="3"/>
  <c r="I42" i="15" s="1"/>
  <c r="J42" s="1"/>
  <c r="G223" i="3"/>
  <c r="I34" i="15" s="1"/>
  <c r="J34" s="1"/>
  <c r="G224" i="3"/>
  <c r="I35" i="15" s="1"/>
  <c r="J35" s="1"/>
  <c r="G225" i="3"/>
  <c r="I36" i="15" s="1"/>
  <c r="J36" s="1"/>
  <c r="G226" i="3"/>
  <c r="I37" i="15" s="1"/>
  <c r="J37" s="1"/>
  <c r="O6" i="22"/>
  <c r="O143" i="3"/>
  <c r="N143"/>
  <c r="J143"/>
  <c r="F130" i="5"/>
  <c r="G130"/>
  <c r="H130"/>
  <c r="E130"/>
  <c r="J159" i="3"/>
  <c r="O159"/>
  <c r="N159"/>
  <c r="O7" i="22"/>
  <c r="O8"/>
  <c r="O9"/>
  <c r="O10"/>
  <c r="O11"/>
  <c r="O12"/>
  <c r="O13"/>
  <c r="O14"/>
  <c r="O15"/>
  <c r="O16"/>
  <c r="O17"/>
  <c r="O18"/>
  <c r="O19"/>
  <c r="O20"/>
  <c r="O21"/>
  <c r="O22"/>
  <c r="O23"/>
  <c r="O24"/>
  <c r="O25"/>
  <c r="O26"/>
  <c r="O27"/>
  <c r="O28"/>
  <c r="O29"/>
  <c r="O30"/>
  <c r="O31"/>
  <c r="O32"/>
  <c r="C103"/>
  <c r="D103"/>
  <c r="C104"/>
  <c r="D104"/>
  <c r="C105"/>
  <c r="D105"/>
  <c r="C106"/>
  <c r="D106"/>
  <c r="C107"/>
  <c r="D107"/>
  <c r="C108"/>
  <c r="D108"/>
  <c r="C109"/>
  <c r="D109"/>
  <c r="D102"/>
  <c r="D4"/>
  <c r="D9" s="1"/>
  <c r="G4"/>
  <c r="G6" s="1"/>
  <c r="F4"/>
  <c r="F6" s="1"/>
  <c r="H4"/>
  <c r="H6" s="1"/>
  <c r="A42" i="8"/>
  <c r="J42" s="1"/>
  <c r="G42"/>
  <c r="I60" i="20"/>
  <c r="H52"/>
  <c r="I52" s="1"/>
  <c r="H53"/>
  <c r="I53" s="1"/>
  <c r="H54"/>
  <c r="I54" s="1"/>
  <c r="H55"/>
  <c r="I55" s="1"/>
  <c r="H56"/>
  <c r="I56" s="1"/>
  <c r="H57"/>
  <c r="I57" s="1"/>
  <c r="H58"/>
  <c r="I58" s="1"/>
  <c r="H59"/>
  <c r="I59" s="1"/>
  <c r="H61"/>
  <c r="I61" s="1"/>
  <c r="H62"/>
  <c r="I62" s="1"/>
  <c r="H63"/>
  <c r="I63" s="1"/>
  <c r="H64"/>
  <c r="I64" s="1"/>
  <c r="G52"/>
  <c r="G53"/>
  <c r="G54"/>
  <c r="G55"/>
  <c r="G56"/>
  <c r="G57"/>
  <c r="G58"/>
  <c r="G59"/>
  <c r="G60"/>
  <c r="G61"/>
  <c r="G62"/>
  <c r="G63"/>
  <c r="G64"/>
  <c r="F52"/>
  <c r="F53"/>
  <c r="F54"/>
  <c r="F55"/>
  <c r="F56"/>
  <c r="F57"/>
  <c r="F58"/>
  <c r="F59"/>
  <c r="F60"/>
  <c r="F61"/>
  <c r="F62"/>
  <c r="F63"/>
  <c r="F64"/>
  <c r="E52"/>
  <c r="E53"/>
  <c r="E54"/>
  <c r="E55"/>
  <c r="E56"/>
  <c r="E57"/>
  <c r="E58"/>
  <c r="E59"/>
  <c r="E60"/>
  <c r="E61"/>
  <c r="E62"/>
  <c r="E63"/>
  <c r="E64"/>
  <c r="D52"/>
  <c r="D53"/>
  <c r="D54"/>
  <c r="D55"/>
  <c r="D56"/>
  <c r="D57"/>
  <c r="D58"/>
  <c r="D59"/>
  <c r="D60"/>
  <c r="D61"/>
  <c r="D62"/>
  <c r="D63"/>
  <c r="D64"/>
  <c r="A52"/>
  <c r="A53"/>
  <c r="A54"/>
  <c r="A55"/>
  <c r="A56"/>
  <c r="A57"/>
  <c r="A58"/>
  <c r="A59"/>
  <c r="A60"/>
  <c r="A61"/>
  <c r="A62"/>
  <c r="A63"/>
  <c r="A64"/>
  <c r="B52"/>
  <c r="B53"/>
  <c r="B54"/>
  <c r="B55"/>
  <c r="B56"/>
  <c r="B57"/>
  <c r="B58"/>
  <c r="B59"/>
  <c r="B60"/>
  <c r="B61"/>
  <c r="B62"/>
  <c r="B63"/>
  <c r="B64"/>
  <c r="C52"/>
  <c r="C53"/>
  <c r="C54"/>
  <c r="C55"/>
  <c r="C56"/>
  <c r="C57"/>
  <c r="C58"/>
  <c r="C59"/>
  <c r="C60"/>
  <c r="C61"/>
  <c r="C62"/>
  <c r="C63"/>
  <c r="C64"/>
  <c r="I22"/>
  <c r="I17"/>
  <c r="H51"/>
  <c r="I51" s="1"/>
  <c r="H50"/>
  <c r="I50" s="1"/>
  <c r="H49"/>
  <c r="I49" s="1"/>
  <c r="H48"/>
  <c r="I48" s="1"/>
  <c r="H47"/>
  <c r="I47" s="1"/>
  <c r="H46"/>
  <c r="I46" s="1"/>
  <c r="H45"/>
  <c r="I45" s="1"/>
  <c r="H44"/>
  <c r="I44" s="1"/>
  <c r="H43"/>
  <c r="I43" s="1"/>
  <c r="H42"/>
  <c r="I42" s="1"/>
  <c r="I41"/>
  <c r="H40"/>
  <c r="I40" s="1"/>
  <c r="H38"/>
  <c r="I38" s="1"/>
  <c r="H37"/>
  <c r="I37" s="1"/>
  <c r="H36"/>
  <c r="I36" s="1"/>
  <c r="H35"/>
  <c r="I35" s="1"/>
  <c r="H34"/>
  <c r="I34" s="1"/>
  <c r="H33"/>
  <c r="I33" s="1"/>
  <c r="H31"/>
  <c r="I31" s="1"/>
  <c r="I30"/>
  <c r="H29"/>
  <c r="I29" s="1"/>
  <c r="H28"/>
  <c r="I28" s="1"/>
  <c r="H27"/>
  <c r="I27" s="1"/>
  <c r="H26"/>
  <c r="I26" s="1"/>
  <c r="H25"/>
  <c r="I25" s="1"/>
  <c r="H24"/>
  <c r="I24" s="1"/>
  <c r="H23"/>
  <c r="I23" s="1"/>
  <c r="I21"/>
  <c r="I20"/>
  <c r="I19"/>
  <c r="G18"/>
  <c r="I18" s="1"/>
  <c r="G19"/>
  <c r="G20"/>
  <c r="G21"/>
  <c r="G22"/>
  <c r="G23"/>
  <c r="G24"/>
  <c r="G25"/>
  <c r="G26"/>
  <c r="G27"/>
  <c r="G28"/>
  <c r="G29"/>
  <c r="G30"/>
  <c r="G31"/>
  <c r="G32"/>
  <c r="I32" s="1"/>
  <c r="G33"/>
  <c r="G34"/>
  <c r="G36"/>
  <c r="G37"/>
  <c r="G38"/>
  <c r="G39"/>
  <c r="I39" s="1"/>
  <c r="G40"/>
  <c r="G41"/>
  <c r="G42"/>
  <c r="G43"/>
  <c r="G44"/>
  <c r="G45"/>
  <c r="G46"/>
  <c r="G47"/>
  <c r="G48"/>
  <c r="G49"/>
  <c r="G50"/>
  <c r="G51"/>
  <c r="G16"/>
  <c r="I16" s="1"/>
  <c r="F18"/>
  <c r="F19"/>
  <c r="F20"/>
  <c r="F21"/>
  <c r="F22"/>
  <c r="F23"/>
  <c r="F24"/>
  <c r="F25"/>
  <c r="F26"/>
  <c r="F27"/>
  <c r="F28"/>
  <c r="F29"/>
  <c r="F30"/>
  <c r="F31"/>
  <c r="F32"/>
  <c r="F33"/>
  <c r="F34"/>
  <c r="F36"/>
  <c r="F37"/>
  <c r="F38"/>
  <c r="F39"/>
  <c r="F40"/>
  <c r="F41"/>
  <c r="F42"/>
  <c r="F43"/>
  <c r="F44"/>
  <c r="F45"/>
  <c r="F46"/>
  <c r="F47"/>
  <c r="F48"/>
  <c r="F49"/>
  <c r="F50"/>
  <c r="F51"/>
  <c r="F16"/>
  <c r="E18"/>
  <c r="E19"/>
  <c r="E20"/>
  <c r="E21"/>
  <c r="E22"/>
  <c r="E23"/>
  <c r="E24"/>
  <c r="E25"/>
  <c r="E26"/>
  <c r="E27"/>
  <c r="E28"/>
  <c r="E29"/>
  <c r="E30"/>
  <c r="E31"/>
  <c r="E32"/>
  <c r="E33"/>
  <c r="E34"/>
  <c r="E36"/>
  <c r="E37"/>
  <c r="E38"/>
  <c r="E39"/>
  <c r="E40"/>
  <c r="E41"/>
  <c r="E42"/>
  <c r="E43"/>
  <c r="E44"/>
  <c r="E45"/>
  <c r="E46"/>
  <c r="E47"/>
  <c r="E48"/>
  <c r="E49"/>
  <c r="E50"/>
  <c r="E51"/>
  <c r="E16"/>
  <c r="D17"/>
  <c r="D18"/>
  <c r="D19"/>
  <c r="D20"/>
  <c r="D21"/>
  <c r="D22"/>
  <c r="D23"/>
  <c r="D24"/>
  <c r="D25"/>
  <c r="D26"/>
  <c r="D27"/>
  <c r="D28"/>
  <c r="D29"/>
  <c r="D30"/>
  <c r="D31"/>
  <c r="D32"/>
  <c r="D33"/>
  <c r="D34"/>
  <c r="D36"/>
  <c r="D37"/>
  <c r="D38"/>
  <c r="D39"/>
  <c r="D40"/>
  <c r="D41"/>
  <c r="D42"/>
  <c r="D43"/>
  <c r="D44"/>
  <c r="D45"/>
  <c r="D46"/>
  <c r="D47"/>
  <c r="D48"/>
  <c r="D49"/>
  <c r="D50"/>
  <c r="D51"/>
  <c r="D16"/>
  <c r="C18"/>
  <c r="C19"/>
  <c r="C20"/>
  <c r="C21"/>
  <c r="C22"/>
  <c r="C23"/>
  <c r="C24"/>
  <c r="C25"/>
  <c r="C26"/>
  <c r="C27"/>
  <c r="C28"/>
  <c r="C29"/>
  <c r="C30"/>
  <c r="C31"/>
  <c r="C32"/>
  <c r="C33"/>
  <c r="C34"/>
  <c r="C36"/>
  <c r="C37"/>
  <c r="C38"/>
  <c r="C39"/>
  <c r="C40"/>
  <c r="C41"/>
  <c r="C42"/>
  <c r="C43"/>
  <c r="C44"/>
  <c r="C45"/>
  <c r="C46"/>
  <c r="C47"/>
  <c r="C48"/>
  <c r="C49"/>
  <c r="C50"/>
  <c r="C51"/>
  <c r="C16"/>
  <c r="B18"/>
  <c r="B19"/>
  <c r="B20"/>
  <c r="B21"/>
  <c r="B22"/>
  <c r="B23"/>
  <c r="B24"/>
  <c r="B25"/>
  <c r="B26"/>
  <c r="B27"/>
  <c r="B28"/>
  <c r="B29"/>
  <c r="B30"/>
  <c r="B31"/>
  <c r="B32"/>
  <c r="B33"/>
  <c r="B34"/>
  <c r="B36"/>
  <c r="B37"/>
  <c r="B38"/>
  <c r="B39"/>
  <c r="B40"/>
  <c r="B41"/>
  <c r="B42"/>
  <c r="B43"/>
  <c r="B44"/>
  <c r="B45"/>
  <c r="B46"/>
  <c r="B47"/>
  <c r="B48"/>
  <c r="B49"/>
  <c r="B50"/>
  <c r="B51"/>
  <c r="B16"/>
  <c r="A40"/>
  <c r="A41"/>
  <c r="A42"/>
  <c r="A43"/>
  <c r="A44"/>
  <c r="A45"/>
  <c r="A46"/>
  <c r="A47"/>
  <c r="A48"/>
  <c r="A49"/>
  <c r="A50"/>
  <c r="A51"/>
  <c r="A17"/>
  <c r="A18"/>
  <c r="A19"/>
  <c r="A20"/>
  <c r="A21"/>
  <c r="A22"/>
  <c r="A23"/>
  <c r="A24"/>
  <c r="A25"/>
  <c r="A26"/>
  <c r="A27"/>
  <c r="A28"/>
  <c r="A29"/>
  <c r="A30"/>
  <c r="A31"/>
  <c r="A32"/>
  <c r="A33"/>
  <c r="A34"/>
  <c r="A36"/>
  <c r="A37"/>
  <c r="A38"/>
  <c r="A39"/>
  <c r="A16"/>
  <c r="G209" i="3"/>
  <c r="B28" i="15"/>
  <c r="C28"/>
  <c r="D28"/>
  <c r="E28"/>
  <c r="F28"/>
  <c r="G28"/>
  <c r="B29"/>
  <c r="C29"/>
  <c r="D29"/>
  <c r="E29"/>
  <c r="F29"/>
  <c r="G29"/>
  <c r="B30"/>
  <c r="C30"/>
  <c r="D30"/>
  <c r="E30"/>
  <c r="F30"/>
  <c r="G30"/>
  <c r="B31"/>
  <c r="C31"/>
  <c r="D31"/>
  <c r="K31" s="1"/>
  <c r="E31"/>
  <c r="F31"/>
  <c r="G31"/>
  <c r="A31"/>
  <c r="A28"/>
  <c r="A29"/>
  <c r="A30"/>
  <c r="G220" i="3"/>
  <c r="I31" i="15" s="1"/>
  <c r="J31" s="1"/>
  <c r="G219" i="3"/>
  <c r="I30" i="15" s="1"/>
  <c r="J30" s="1"/>
  <c r="G218" i="3"/>
  <c r="I29" i="15" s="1"/>
  <c r="J29" s="1"/>
  <c r="G217" i="3"/>
  <c r="I28" i="15" s="1"/>
  <c r="J28" s="1"/>
  <c r="F126" i="5"/>
  <c r="G126"/>
  <c r="H126"/>
  <c r="F127"/>
  <c r="G127"/>
  <c r="H127"/>
  <c r="F128"/>
  <c r="G128"/>
  <c r="H128"/>
  <c r="F129"/>
  <c r="G129"/>
  <c r="H129"/>
  <c r="E126"/>
  <c r="E127"/>
  <c r="E128"/>
  <c r="E129"/>
  <c r="O158" i="3"/>
  <c r="N158"/>
  <c r="J158"/>
  <c r="O157"/>
  <c r="N157"/>
  <c r="J157"/>
  <c r="O156"/>
  <c r="N156"/>
  <c r="J156"/>
  <c r="O160"/>
  <c r="N160"/>
  <c r="O155"/>
  <c r="N155"/>
  <c r="J155"/>
  <c r="E19" i="15"/>
  <c r="G24"/>
  <c r="G25"/>
  <c r="G26"/>
  <c r="G27"/>
  <c r="F24"/>
  <c r="F25"/>
  <c r="F26"/>
  <c r="F27"/>
  <c r="E24"/>
  <c r="E25"/>
  <c r="E26"/>
  <c r="E27"/>
  <c r="D24"/>
  <c r="D25"/>
  <c r="D26"/>
  <c r="D27"/>
  <c r="C24"/>
  <c r="C25"/>
  <c r="C26"/>
  <c r="C27"/>
  <c r="B24"/>
  <c r="B25"/>
  <c r="B26"/>
  <c r="B27"/>
  <c r="A27"/>
  <c r="A24"/>
  <c r="A25"/>
  <c r="A26"/>
  <c r="G213" i="3"/>
  <c r="I24" i="15" s="1"/>
  <c r="J24" s="1"/>
  <c r="G214" i="3"/>
  <c r="I25" i="15" s="1"/>
  <c r="J25" s="1"/>
  <c r="G215" i="3"/>
  <c r="I26" i="15" s="1"/>
  <c r="J26" s="1"/>
  <c r="G216" i="3"/>
  <c r="I27" i="15" s="1"/>
  <c r="J27" s="1"/>
  <c r="H76" i="5"/>
  <c r="H77"/>
  <c r="H78"/>
  <c r="H79"/>
  <c r="F36" i="19"/>
  <c r="H36" s="1"/>
  <c r="F37"/>
  <c r="H37" s="1"/>
  <c r="F38"/>
  <c r="H38" s="1"/>
  <c r="F39"/>
  <c r="H39" s="1"/>
  <c r="F40"/>
  <c r="H40" s="1"/>
  <c r="F41"/>
  <c r="H41" s="1"/>
  <c r="F42"/>
  <c r="H42" s="1"/>
  <c r="F35"/>
  <c r="H35" s="1"/>
  <c r="J26" i="3"/>
  <c r="A54" i="17"/>
  <c r="A53"/>
  <c r="A52"/>
  <c r="A24"/>
  <c r="A23"/>
  <c r="K72" i="5"/>
  <c r="K70"/>
  <c r="A36" i="3"/>
  <c r="A26" i="2"/>
  <c r="F26" s="1"/>
  <c r="E118" i="5"/>
  <c r="H124"/>
  <c r="H125"/>
  <c r="G123"/>
  <c r="H123"/>
  <c r="G119"/>
  <c r="H119"/>
  <c r="G120"/>
  <c r="H120"/>
  <c r="G122"/>
  <c r="H122"/>
  <c r="G124"/>
  <c r="G125"/>
  <c r="E124"/>
  <c r="F124"/>
  <c r="E125"/>
  <c r="F125"/>
  <c r="E122"/>
  <c r="F122"/>
  <c r="E123"/>
  <c r="F123"/>
  <c r="E120"/>
  <c r="F120"/>
  <c r="F119"/>
  <c r="E119"/>
  <c r="T4" i="6"/>
  <c r="I30" i="3"/>
  <c r="B33" s="1"/>
  <c r="G31"/>
  <c r="B32" s="1"/>
  <c r="K28" i="5"/>
  <c r="J103" i="17"/>
  <c r="I103" i="5"/>
  <c r="I102"/>
  <c r="G102"/>
  <c r="I101"/>
  <c r="G101"/>
  <c r="I100"/>
  <c r="G100"/>
  <c r="G99"/>
  <c r="J102" i="17"/>
  <c r="J101"/>
  <c r="J100"/>
  <c r="H100"/>
  <c r="H101"/>
  <c r="H102"/>
  <c r="H99"/>
  <c r="A81"/>
  <c r="A68"/>
  <c r="A69"/>
  <c r="A70"/>
  <c r="A71"/>
  <c r="A72"/>
  <c r="A73"/>
  <c r="A74"/>
  <c r="A75"/>
  <c r="A76"/>
  <c r="A77"/>
  <c r="A78"/>
  <c r="A79"/>
  <c r="A67"/>
  <c r="A58"/>
  <c r="A36"/>
  <c r="A37"/>
  <c r="A38"/>
  <c r="A39"/>
  <c r="A40"/>
  <c r="A41"/>
  <c r="A42"/>
  <c r="A43"/>
  <c r="A44"/>
  <c r="A45"/>
  <c r="A46"/>
  <c r="A47"/>
  <c r="A48"/>
  <c r="A49"/>
  <c r="A50"/>
  <c r="A51"/>
  <c r="A55"/>
  <c r="A56"/>
  <c r="A6"/>
  <c r="A28"/>
  <c r="A26"/>
  <c r="A25"/>
  <c r="A22"/>
  <c r="A21"/>
  <c r="A20"/>
  <c r="A19"/>
  <c r="A18"/>
  <c r="A17"/>
  <c r="A16"/>
  <c r="A15"/>
  <c r="A14"/>
  <c r="A13"/>
  <c r="A12"/>
  <c r="A11"/>
  <c r="A10"/>
  <c r="A9"/>
  <c r="A8"/>
  <c r="A7"/>
  <c r="E65"/>
  <c r="F65"/>
  <c r="G65"/>
  <c r="H65"/>
  <c r="I65"/>
  <c r="J65"/>
  <c r="K65"/>
  <c r="L65"/>
  <c r="M65"/>
  <c r="N65"/>
  <c r="O65"/>
  <c r="D65"/>
  <c r="E34"/>
  <c r="F34"/>
  <c r="G34"/>
  <c r="H34"/>
  <c r="I34"/>
  <c r="J34"/>
  <c r="K34"/>
  <c r="L34"/>
  <c r="M34"/>
  <c r="N34"/>
  <c r="O34"/>
  <c r="D34"/>
  <c r="D4"/>
  <c r="E4"/>
  <c r="F4"/>
  <c r="G4"/>
  <c r="H4"/>
  <c r="I4"/>
  <c r="J4"/>
  <c r="K4"/>
  <c r="L4"/>
  <c r="M4"/>
  <c r="N4"/>
  <c r="O4"/>
  <c r="P4"/>
  <c r="Q4"/>
  <c r="R4"/>
  <c r="S4"/>
  <c r="T4"/>
  <c r="U4"/>
  <c r="A66"/>
  <c r="A44" i="8"/>
  <c r="K3" i="12"/>
  <c r="K2"/>
  <c r="K37" i="15" l="1"/>
  <c r="K42"/>
  <c r="K38"/>
  <c r="K34"/>
  <c r="K35"/>
  <c r="H1" i="22"/>
  <c r="B36" i="3"/>
  <c r="F36"/>
  <c r="K40" i="15"/>
  <c r="K29"/>
  <c r="B5" i="20"/>
  <c r="L66" i="21"/>
  <c r="K39" i="15"/>
  <c r="E36" i="3"/>
  <c r="K36" i="15"/>
  <c r="K41"/>
  <c r="K30"/>
  <c r="L70" i="21"/>
  <c r="K70"/>
  <c r="J70"/>
  <c r="I70"/>
  <c r="K67"/>
  <c r="J63"/>
  <c r="L69"/>
  <c r="J69"/>
  <c r="L68"/>
  <c r="J68"/>
  <c r="L67"/>
  <c r="J67"/>
  <c r="K66"/>
  <c r="I66"/>
  <c r="K69"/>
  <c r="I69"/>
  <c r="K68"/>
  <c r="I68"/>
  <c r="J66"/>
  <c r="L45"/>
  <c r="L63"/>
  <c r="I63"/>
  <c r="K63"/>
  <c r="L49"/>
  <c r="I55"/>
  <c r="J45"/>
  <c r="I60"/>
  <c r="I56"/>
  <c r="J60"/>
  <c r="J56"/>
  <c r="J52"/>
  <c r="J48"/>
  <c r="K44"/>
  <c r="I53"/>
  <c r="I51"/>
  <c r="I49"/>
  <c r="I47"/>
  <c r="I45"/>
  <c r="I62"/>
  <c r="I58"/>
  <c r="J62"/>
  <c r="J58"/>
  <c r="J54"/>
  <c r="J50"/>
  <c r="J46"/>
  <c r="J44"/>
  <c r="K61"/>
  <c r="K59"/>
  <c r="K57"/>
  <c r="K55"/>
  <c r="K53"/>
  <c r="K51"/>
  <c r="K49"/>
  <c r="K47"/>
  <c r="K45"/>
  <c r="L62"/>
  <c r="L60"/>
  <c r="L58"/>
  <c r="L56"/>
  <c r="L54"/>
  <c r="L52"/>
  <c r="L50"/>
  <c r="L48"/>
  <c r="L46"/>
  <c r="L44"/>
  <c r="I54"/>
  <c r="I52"/>
  <c r="I50"/>
  <c r="I48"/>
  <c r="I46"/>
  <c r="I44"/>
  <c r="I61"/>
  <c r="I59"/>
  <c r="I57"/>
  <c r="J61"/>
  <c r="J59"/>
  <c r="J57"/>
  <c r="J55"/>
  <c r="J53"/>
  <c r="J51"/>
  <c r="J49"/>
  <c r="J47"/>
  <c r="K62"/>
  <c r="K60"/>
  <c r="K58"/>
  <c r="K56"/>
  <c r="K54"/>
  <c r="K52"/>
  <c r="K50"/>
  <c r="K48"/>
  <c r="K46"/>
  <c r="L61"/>
  <c r="L59"/>
  <c r="L57"/>
  <c r="L55"/>
  <c r="L53"/>
  <c r="L51"/>
  <c r="L47"/>
  <c r="G118" i="5"/>
  <c r="F118"/>
  <c r="H118"/>
  <c r="D32" i="22"/>
  <c r="D30"/>
  <c r="D28"/>
  <c r="D26"/>
  <c r="D24"/>
  <c r="D22"/>
  <c r="D20"/>
  <c r="D18"/>
  <c r="D16"/>
  <c r="D14"/>
  <c r="D12"/>
  <c r="D10"/>
  <c r="D8"/>
  <c r="D6"/>
  <c r="D7"/>
  <c r="D31"/>
  <c r="D29"/>
  <c r="D27"/>
  <c r="D25"/>
  <c r="D23"/>
  <c r="D21"/>
  <c r="D19"/>
  <c r="D17"/>
  <c r="D15"/>
  <c r="D13"/>
  <c r="D11"/>
  <c r="G32"/>
  <c r="G31"/>
  <c r="G30"/>
  <c r="G29"/>
  <c r="G28"/>
  <c r="G27"/>
  <c r="G26"/>
  <c r="G25"/>
  <c r="G24"/>
  <c r="G23"/>
  <c r="G22"/>
  <c r="G21"/>
  <c r="G20"/>
  <c r="G19"/>
  <c r="G18"/>
  <c r="G17"/>
  <c r="G16"/>
  <c r="G15"/>
  <c r="G14"/>
  <c r="G13"/>
  <c r="G12"/>
  <c r="G11"/>
  <c r="G10"/>
  <c r="G9"/>
  <c r="G8"/>
  <c r="G7"/>
  <c r="H32"/>
  <c r="F32"/>
  <c r="H31"/>
  <c r="F31"/>
  <c r="H30"/>
  <c r="F30"/>
  <c r="H29"/>
  <c r="F29"/>
  <c r="H28"/>
  <c r="F28"/>
  <c r="H27"/>
  <c r="F27"/>
  <c r="H26"/>
  <c r="F26"/>
  <c r="H25"/>
  <c r="F25"/>
  <c r="H24"/>
  <c r="F24"/>
  <c r="H23"/>
  <c r="F23"/>
  <c r="H22"/>
  <c r="F22"/>
  <c r="H21"/>
  <c r="F21"/>
  <c r="H20"/>
  <c r="F20"/>
  <c r="H19"/>
  <c r="F19"/>
  <c r="H18"/>
  <c r="F18"/>
  <c r="H17"/>
  <c r="F17"/>
  <c r="H16"/>
  <c r="F16"/>
  <c r="H15"/>
  <c r="F15"/>
  <c r="H14"/>
  <c r="F14"/>
  <c r="H13"/>
  <c r="F13"/>
  <c r="H12"/>
  <c r="F12"/>
  <c r="H11"/>
  <c r="F11"/>
  <c r="H10"/>
  <c r="F10"/>
  <c r="H9"/>
  <c r="F9"/>
  <c r="H8"/>
  <c r="F8"/>
  <c r="H7"/>
  <c r="F7"/>
  <c r="K28" i="15"/>
  <c r="C209" i="20"/>
  <c r="K27" i="15"/>
  <c r="K25"/>
  <c r="K26"/>
  <c r="K24"/>
  <c r="E33" i="3"/>
  <c r="O79" i="17"/>
  <c r="M79"/>
  <c r="K79"/>
  <c r="I79"/>
  <c r="G79"/>
  <c r="E79"/>
  <c r="E54"/>
  <c r="E53"/>
  <c r="N54"/>
  <c r="L54"/>
  <c r="J54"/>
  <c r="H54"/>
  <c r="F54"/>
  <c r="D54"/>
  <c r="N53"/>
  <c r="L53"/>
  <c r="J53"/>
  <c r="H53"/>
  <c r="F53"/>
  <c r="D53"/>
  <c r="O54"/>
  <c r="M54"/>
  <c r="K54"/>
  <c r="I54"/>
  <c r="G54"/>
  <c r="O53"/>
  <c r="M53"/>
  <c r="K53"/>
  <c r="I53"/>
  <c r="G53"/>
  <c r="O20" i="6"/>
  <c r="H32" i="3"/>
  <c r="L4" i="6" s="1"/>
  <c r="D79" i="17"/>
  <c r="N79"/>
  <c r="L79"/>
  <c r="J79"/>
  <c r="H79"/>
  <c r="F79"/>
  <c r="D67"/>
  <c r="F67"/>
  <c r="I67"/>
  <c r="M67"/>
  <c r="D68"/>
  <c r="F68"/>
  <c r="H68"/>
  <c r="J68"/>
  <c r="L68"/>
  <c r="N68"/>
  <c r="D69"/>
  <c r="F69"/>
  <c r="H69"/>
  <c r="J69"/>
  <c r="L69"/>
  <c r="N69"/>
  <c r="D70"/>
  <c r="F70"/>
  <c r="H70"/>
  <c r="J70"/>
  <c r="D71"/>
  <c r="F71"/>
  <c r="H71"/>
  <c r="J71"/>
  <c r="L71"/>
  <c r="N71"/>
  <c r="D72"/>
  <c r="F72"/>
  <c r="H72"/>
  <c r="J72"/>
  <c r="L72"/>
  <c r="N72"/>
  <c r="D73"/>
  <c r="F73"/>
  <c r="H73"/>
  <c r="J73"/>
  <c r="L73"/>
  <c r="N73"/>
  <c r="D74"/>
  <c r="F74"/>
  <c r="H74"/>
  <c r="J74"/>
  <c r="L74"/>
  <c r="N74"/>
  <c r="D75"/>
  <c r="F75"/>
  <c r="H75"/>
  <c r="J75"/>
  <c r="L75"/>
  <c r="N75"/>
  <c r="D76"/>
  <c r="F76"/>
  <c r="H76"/>
  <c r="J76"/>
  <c r="L76"/>
  <c r="N76"/>
  <c r="D77"/>
  <c r="F77"/>
  <c r="H77"/>
  <c r="J77"/>
  <c r="L77"/>
  <c r="N77"/>
  <c r="D78"/>
  <c r="F78"/>
  <c r="H78"/>
  <c r="J78"/>
  <c r="L78"/>
  <c r="N78"/>
  <c r="K56"/>
  <c r="O52"/>
  <c r="K50"/>
  <c r="O48"/>
  <c r="K46"/>
  <c r="O44"/>
  <c r="K42"/>
  <c r="O40"/>
  <c r="K38"/>
  <c r="O36"/>
  <c r="E67"/>
  <c r="G67"/>
  <c r="K67"/>
  <c r="O67"/>
  <c r="E68"/>
  <c r="G68"/>
  <c r="I68"/>
  <c r="K68"/>
  <c r="M68"/>
  <c r="O68"/>
  <c r="E69"/>
  <c r="G69"/>
  <c r="I69"/>
  <c r="K69"/>
  <c r="M69"/>
  <c r="O69"/>
  <c r="E70"/>
  <c r="G70"/>
  <c r="I70"/>
  <c r="K70"/>
  <c r="E71"/>
  <c r="G71"/>
  <c r="I71"/>
  <c r="K71"/>
  <c r="M71"/>
  <c r="O71"/>
  <c r="E72"/>
  <c r="G72"/>
  <c r="I72"/>
  <c r="K72"/>
  <c r="M72"/>
  <c r="O72"/>
  <c r="E73"/>
  <c r="G73"/>
  <c r="I73"/>
  <c r="K73"/>
  <c r="M73"/>
  <c r="O73"/>
  <c r="E74"/>
  <c r="G74"/>
  <c r="I74"/>
  <c r="K74"/>
  <c r="M74"/>
  <c r="O74"/>
  <c r="E75"/>
  <c r="G75"/>
  <c r="I75"/>
  <c r="K75"/>
  <c r="M75"/>
  <c r="O75"/>
  <c r="E76"/>
  <c r="G76"/>
  <c r="I76"/>
  <c r="K76"/>
  <c r="M76"/>
  <c r="O76"/>
  <c r="E77"/>
  <c r="G77"/>
  <c r="I77"/>
  <c r="K77"/>
  <c r="M77"/>
  <c r="O77"/>
  <c r="E78"/>
  <c r="G78"/>
  <c r="I78"/>
  <c r="K78"/>
  <c r="M78"/>
  <c r="O78"/>
  <c r="N67"/>
  <c r="H67"/>
  <c r="J67"/>
  <c r="L67"/>
  <c r="K36"/>
  <c r="G38"/>
  <c r="O38"/>
  <c r="K40"/>
  <c r="G42"/>
  <c r="O42"/>
  <c r="K44"/>
  <c r="G46"/>
  <c r="O46"/>
  <c r="K48"/>
  <c r="G50"/>
  <c r="O50"/>
  <c r="K52"/>
  <c r="G56"/>
  <c r="O56"/>
  <c r="G36"/>
  <c r="G40"/>
  <c r="G44"/>
  <c r="G48"/>
  <c r="G52"/>
  <c r="N55"/>
  <c r="L55"/>
  <c r="J55"/>
  <c r="H55"/>
  <c r="F55"/>
  <c r="D55"/>
  <c r="N51"/>
  <c r="L51"/>
  <c r="J51"/>
  <c r="H51"/>
  <c r="F51"/>
  <c r="D51"/>
  <c r="N49"/>
  <c r="L49"/>
  <c r="J49"/>
  <c r="H49"/>
  <c r="F49"/>
  <c r="D49"/>
  <c r="N47"/>
  <c r="L47"/>
  <c r="J47"/>
  <c r="H47"/>
  <c r="F47"/>
  <c r="D47"/>
  <c r="N45"/>
  <c r="L45"/>
  <c r="J45"/>
  <c r="H45"/>
  <c r="F45"/>
  <c r="D45"/>
  <c r="N43"/>
  <c r="L43"/>
  <c r="J43"/>
  <c r="H43"/>
  <c r="F43"/>
  <c r="D43"/>
  <c r="N41"/>
  <c r="L41"/>
  <c r="J41"/>
  <c r="H41"/>
  <c r="F41"/>
  <c r="D41"/>
  <c r="N39"/>
  <c r="L39"/>
  <c r="J39"/>
  <c r="H39"/>
  <c r="F39"/>
  <c r="D39"/>
  <c r="N37"/>
  <c r="L37"/>
  <c r="J37"/>
  <c r="H37"/>
  <c r="F37"/>
  <c r="D37"/>
  <c r="N56"/>
  <c r="L56"/>
  <c r="J56"/>
  <c r="H56"/>
  <c r="F56"/>
  <c r="D56"/>
  <c r="N52"/>
  <c r="L52"/>
  <c r="J52"/>
  <c r="H52"/>
  <c r="F52"/>
  <c r="D52"/>
  <c r="N50"/>
  <c r="L50"/>
  <c r="J50"/>
  <c r="H50"/>
  <c r="F50"/>
  <c r="D50"/>
  <c r="N48"/>
  <c r="L48"/>
  <c r="J48"/>
  <c r="H48"/>
  <c r="F48"/>
  <c r="D48"/>
  <c r="N46"/>
  <c r="L46"/>
  <c r="J46"/>
  <c r="H46"/>
  <c r="F46"/>
  <c r="D46"/>
  <c r="N44"/>
  <c r="L44"/>
  <c r="J44"/>
  <c r="H44"/>
  <c r="F44"/>
  <c r="D44"/>
  <c r="N42"/>
  <c r="L42"/>
  <c r="J42"/>
  <c r="H42"/>
  <c r="F42"/>
  <c r="D42"/>
  <c r="N40"/>
  <c r="L40"/>
  <c r="J40"/>
  <c r="H40"/>
  <c r="F40"/>
  <c r="D40"/>
  <c r="N38"/>
  <c r="L38"/>
  <c r="J38"/>
  <c r="H38"/>
  <c r="F38"/>
  <c r="D38"/>
  <c r="N36"/>
  <c r="L36"/>
  <c r="J36"/>
  <c r="H36"/>
  <c r="F36"/>
  <c r="D36"/>
  <c r="G37"/>
  <c r="K37"/>
  <c r="O37"/>
  <c r="G39"/>
  <c r="K39"/>
  <c r="O39"/>
  <c r="G41"/>
  <c r="K41"/>
  <c r="O41"/>
  <c r="G43"/>
  <c r="K43"/>
  <c r="O43"/>
  <c r="G45"/>
  <c r="K45"/>
  <c r="O45"/>
  <c r="G47"/>
  <c r="K47"/>
  <c r="O47"/>
  <c r="G49"/>
  <c r="K49"/>
  <c r="O49"/>
  <c r="G51"/>
  <c r="K51"/>
  <c r="O51"/>
  <c r="G55"/>
  <c r="K55"/>
  <c r="O55"/>
  <c r="E36"/>
  <c r="I36"/>
  <c r="M36"/>
  <c r="E37"/>
  <c r="I37"/>
  <c r="M37"/>
  <c r="E38"/>
  <c r="I38"/>
  <c r="M38"/>
  <c r="E39"/>
  <c r="I39"/>
  <c r="M39"/>
  <c r="E40"/>
  <c r="I40"/>
  <c r="M40"/>
  <c r="E41"/>
  <c r="I41"/>
  <c r="M41"/>
  <c r="E42"/>
  <c r="I42"/>
  <c r="M42"/>
  <c r="E43"/>
  <c r="I43"/>
  <c r="M43"/>
  <c r="E44"/>
  <c r="I44"/>
  <c r="M44"/>
  <c r="E45"/>
  <c r="I45"/>
  <c r="M45"/>
  <c r="E46"/>
  <c r="I46"/>
  <c r="M46"/>
  <c r="E47"/>
  <c r="I47"/>
  <c r="M47"/>
  <c r="E48"/>
  <c r="I48"/>
  <c r="M48"/>
  <c r="E49"/>
  <c r="I49"/>
  <c r="M49"/>
  <c r="E50"/>
  <c r="I50"/>
  <c r="M50"/>
  <c r="E51"/>
  <c r="I51"/>
  <c r="M51"/>
  <c r="E52"/>
  <c r="I52"/>
  <c r="M52"/>
  <c r="E55"/>
  <c r="I55"/>
  <c r="M55"/>
  <c r="E56"/>
  <c r="I56"/>
  <c r="M56"/>
  <c r="J129" i="3"/>
  <c r="G36" s="1"/>
  <c r="J130"/>
  <c r="J131"/>
  <c r="J151"/>
  <c r="J152"/>
  <c r="J153"/>
  <c r="J154"/>
  <c r="J39"/>
  <c r="T29"/>
  <c r="T28"/>
  <c r="J80" s="1"/>
  <c r="K5" i="12"/>
  <c r="K1"/>
  <c r="J145" i="3" l="1"/>
  <c r="J148"/>
  <c r="J146"/>
  <c r="N85" i="17"/>
  <c r="J150" i="3"/>
  <c r="J123"/>
  <c r="J147"/>
  <c r="J149"/>
  <c r="J55"/>
  <c r="J56"/>
  <c r="J71"/>
  <c r="J61"/>
  <c r="J54"/>
  <c r="J59"/>
  <c r="J60"/>
  <c r="J57"/>
  <c r="J58"/>
  <c r="J73"/>
  <c r="J53"/>
  <c r="J49"/>
  <c r="J52"/>
  <c r="J46"/>
  <c r="J44"/>
  <c r="J85" i="17"/>
  <c r="J64"/>
  <c r="F64"/>
  <c r="N64"/>
  <c r="B9" i="20"/>
  <c r="M67" i="21"/>
  <c r="M68"/>
  <c r="M69"/>
  <c r="M70"/>
  <c r="M66"/>
  <c r="J140" i="3"/>
  <c r="J142"/>
  <c r="J141"/>
  <c r="D84" i="17"/>
  <c r="J160" i="3"/>
  <c r="E4" i="19"/>
  <c r="H60" i="17"/>
  <c r="L60"/>
  <c r="D60"/>
  <c r="Q34" i="3"/>
  <c r="L17" i="6"/>
  <c r="H33" i="3"/>
  <c r="J33" s="1"/>
  <c r="J43"/>
  <c r="L84" i="17"/>
  <c r="L85"/>
  <c r="H84"/>
  <c r="H85"/>
  <c r="O87"/>
  <c r="K87"/>
  <c r="G87"/>
  <c r="O89"/>
  <c r="K89"/>
  <c r="G89"/>
  <c r="O91"/>
  <c r="K91"/>
  <c r="G91"/>
  <c r="O85"/>
  <c r="G85"/>
  <c r="L87"/>
  <c r="H87"/>
  <c r="D87"/>
  <c r="L89"/>
  <c r="H89"/>
  <c r="D89"/>
  <c r="L91"/>
  <c r="H91"/>
  <c r="D91"/>
  <c r="I85"/>
  <c r="D85"/>
  <c r="M87"/>
  <c r="I87"/>
  <c r="E87"/>
  <c r="M89"/>
  <c r="I89"/>
  <c r="E89"/>
  <c r="M91"/>
  <c r="I91"/>
  <c r="E91"/>
  <c r="K85"/>
  <c r="E85"/>
  <c r="N87"/>
  <c r="J87"/>
  <c r="F87"/>
  <c r="N89"/>
  <c r="J89"/>
  <c r="F89"/>
  <c r="N91"/>
  <c r="J91"/>
  <c r="F91"/>
  <c r="M85"/>
  <c r="F85"/>
  <c r="I64"/>
  <c r="G64"/>
  <c r="O64"/>
  <c r="M64"/>
  <c r="E64"/>
  <c r="K64"/>
  <c r="L64"/>
  <c r="H64"/>
  <c r="D64"/>
  <c r="O84"/>
  <c r="G84"/>
  <c r="O60"/>
  <c r="G60"/>
  <c r="E62"/>
  <c r="E61"/>
  <c r="E59"/>
  <c r="E58"/>
  <c r="E63"/>
  <c r="J63"/>
  <c r="J62"/>
  <c r="J61"/>
  <c r="J59"/>
  <c r="J58"/>
  <c r="K62"/>
  <c r="K61"/>
  <c r="K59"/>
  <c r="K58"/>
  <c r="K63"/>
  <c r="J83"/>
  <c r="J82"/>
  <c r="J81"/>
  <c r="N83"/>
  <c r="N84"/>
  <c r="N82"/>
  <c r="N81"/>
  <c r="K82"/>
  <c r="K81"/>
  <c r="K83"/>
  <c r="E82"/>
  <c r="E81"/>
  <c r="E83"/>
  <c r="M82"/>
  <c r="M81"/>
  <c r="M83"/>
  <c r="F83"/>
  <c r="F82"/>
  <c r="F81"/>
  <c r="K84"/>
  <c r="K60"/>
  <c r="M62"/>
  <c r="M61"/>
  <c r="M59"/>
  <c r="M58"/>
  <c r="M63"/>
  <c r="F63"/>
  <c r="F62"/>
  <c r="F61"/>
  <c r="F59"/>
  <c r="F58"/>
  <c r="N63"/>
  <c r="N62"/>
  <c r="N61"/>
  <c r="N59"/>
  <c r="N58"/>
  <c r="I62"/>
  <c r="I61"/>
  <c r="I59"/>
  <c r="I58"/>
  <c r="I63"/>
  <c r="D63"/>
  <c r="D62"/>
  <c r="D61"/>
  <c r="D59"/>
  <c r="D58"/>
  <c r="H63"/>
  <c r="H62"/>
  <c r="H61"/>
  <c r="H59"/>
  <c r="H58"/>
  <c r="L63"/>
  <c r="L62"/>
  <c r="L61"/>
  <c r="L59"/>
  <c r="L58"/>
  <c r="G62"/>
  <c r="G61"/>
  <c r="G59"/>
  <c r="G58"/>
  <c r="G63"/>
  <c r="L83"/>
  <c r="L82"/>
  <c r="L81"/>
  <c r="H83"/>
  <c r="H82"/>
  <c r="H81"/>
  <c r="O82"/>
  <c r="O81"/>
  <c r="O83"/>
  <c r="G82"/>
  <c r="G81"/>
  <c r="G83"/>
  <c r="O62"/>
  <c r="O61"/>
  <c r="O59"/>
  <c r="O58"/>
  <c r="O63"/>
  <c r="I82"/>
  <c r="I81"/>
  <c r="I83"/>
  <c r="D83"/>
  <c r="D82"/>
  <c r="D81"/>
  <c r="J84"/>
  <c r="F84"/>
  <c r="N60"/>
  <c r="J60"/>
  <c r="F60"/>
  <c r="M84"/>
  <c r="I84"/>
  <c r="E84"/>
  <c r="M60"/>
  <c r="I60"/>
  <c r="E60"/>
  <c r="L93"/>
  <c r="H93"/>
  <c r="O93"/>
  <c r="G93"/>
  <c r="I93"/>
  <c r="D93"/>
  <c r="J93"/>
  <c r="N93"/>
  <c r="K93"/>
  <c r="E93"/>
  <c r="M93"/>
  <c r="F93"/>
  <c r="C65"/>
  <c r="C34"/>
  <c r="J47" i="3"/>
  <c r="J138"/>
  <c r="J136"/>
  <c r="J134"/>
  <c r="J132"/>
  <c r="J128"/>
  <c r="J126"/>
  <c r="J124"/>
  <c r="J122"/>
  <c r="J120"/>
  <c r="J118"/>
  <c r="J116"/>
  <c r="J114"/>
  <c r="J112"/>
  <c r="J110"/>
  <c r="J108"/>
  <c r="J106"/>
  <c r="J104"/>
  <c r="J102"/>
  <c r="J100"/>
  <c r="J98"/>
  <c r="J96"/>
  <c r="J94"/>
  <c r="J92"/>
  <c r="J90"/>
  <c r="J88"/>
  <c r="J86"/>
  <c r="J84"/>
  <c r="J82"/>
  <c r="J78"/>
  <c r="J76"/>
  <c r="J74"/>
  <c r="J72"/>
  <c r="J69"/>
  <c r="J67"/>
  <c r="J65"/>
  <c r="J45"/>
  <c r="J48"/>
  <c r="J139"/>
  <c r="J137"/>
  <c r="J135"/>
  <c r="J133"/>
  <c r="J127"/>
  <c r="J125"/>
  <c r="J121"/>
  <c r="J119"/>
  <c r="J117"/>
  <c r="J115"/>
  <c r="J113"/>
  <c r="J111"/>
  <c r="J109"/>
  <c r="J107"/>
  <c r="J105"/>
  <c r="J103"/>
  <c r="J101"/>
  <c r="J99"/>
  <c r="J97"/>
  <c r="J95"/>
  <c r="J93"/>
  <c r="J91"/>
  <c r="J89"/>
  <c r="J87"/>
  <c r="J83"/>
  <c r="J79"/>
  <c r="J77"/>
  <c r="J75"/>
  <c r="J70"/>
  <c r="J68"/>
  <c r="J66"/>
  <c r="J64"/>
  <c r="C28" i="12"/>
  <c r="C29"/>
  <c r="B28"/>
  <c r="B29"/>
  <c r="B40"/>
  <c r="B39"/>
  <c r="B41"/>
  <c r="D24" i="5" l="1"/>
  <c r="M65" i="21"/>
  <c r="D3" s="1"/>
  <c r="D2" s="1"/>
  <c r="N34" i="6"/>
  <c r="R34" s="1"/>
  <c r="M34" i="3"/>
  <c r="J41" i="14"/>
  <c r="J37"/>
  <c r="J38"/>
  <c r="J39"/>
  <c r="J40"/>
  <c r="J36"/>
  <c r="J2"/>
  <c r="J3"/>
  <c r="J4"/>
  <c r="J1"/>
  <c r="I2"/>
  <c r="I3"/>
  <c r="I4"/>
  <c r="I1"/>
  <c r="K1" s="1"/>
  <c r="A5" i="15"/>
  <c r="B5"/>
  <c r="C5"/>
  <c r="D5"/>
  <c r="E5"/>
  <c r="F5"/>
  <c r="G5"/>
  <c r="A6"/>
  <c r="B6"/>
  <c r="C6"/>
  <c r="D6"/>
  <c r="E6"/>
  <c r="F6"/>
  <c r="G6"/>
  <c r="A7"/>
  <c r="B7"/>
  <c r="C7"/>
  <c r="D7"/>
  <c r="K7" s="1"/>
  <c r="E7"/>
  <c r="F7"/>
  <c r="G7"/>
  <c r="A8"/>
  <c r="B8"/>
  <c r="C8"/>
  <c r="D8"/>
  <c r="E8"/>
  <c r="F8"/>
  <c r="G8"/>
  <c r="A9"/>
  <c r="B9"/>
  <c r="C9"/>
  <c r="D9"/>
  <c r="K9" s="1"/>
  <c r="E9"/>
  <c r="F9"/>
  <c r="G9"/>
  <c r="A10"/>
  <c r="B10"/>
  <c r="C10"/>
  <c r="D10"/>
  <c r="K10" s="1"/>
  <c r="E10"/>
  <c r="F10"/>
  <c r="G10"/>
  <c r="A11"/>
  <c r="B11"/>
  <c r="C11"/>
  <c r="D11"/>
  <c r="K11" s="1"/>
  <c r="E11"/>
  <c r="F11"/>
  <c r="G11"/>
  <c r="A12"/>
  <c r="B12"/>
  <c r="C12"/>
  <c r="D12"/>
  <c r="K12" s="1"/>
  <c r="E12"/>
  <c r="F12"/>
  <c r="G12"/>
  <c r="A13"/>
  <c r="B13"/>
  <c r="C13"/>
  <c r="D13"/>
  <c r="K13" s="1"/>
  <c r="E13"/>
  <c r="F13"/>
  <c r="G13"/>
  <c r="A14"/>
  <c r="B14"/>
  <c r="C14"/>
  <c r="D14"/>
  <c r="K14" s="1"/>
  <c r="E14"/>
  <c r="F14"/>
  <c r="G14"/>
  <c r="A15"/>
  <c r="B15"/>
  <c r="C15"/>
  <c r="D15"/>
  <c r="K15" s="1"/>
  <c r="E15"/>
  <c r="F15"/>
  <c r="G15"/>
  <c r="A16"/>
  <c r="B16"/>
  <c r="C16"/>
  <c r="D16"/>
  <c r="K16" s="1"/>
  <c r="E16"/>
  <c r="F16"/>
  <c r="G16"/>
  <c r="A17"/>
  <c r="B17"/>
  <c r="C17"/>
  <c r="D17"/>
  <c r="K17" s="1"/>
  <c r="E17"/>
  <c r="F17"/>
  <c r="G17"/>
  <c r="A18"/>
  <c r="B18"/>
  <c r="C18"/>
  <c r="D18"/>
  <c r="K18" s="1"/>
  <c r="E18"/>
  <c r="F18"/>
  <c r="G18"/>
  <c r="A19"/>
  <c r="B19"/>
  <c r="C19"/>
  <c r="D19"/>
  <c r="F19"/>
  <c r="G19"/>
  <c r="A20"/>
  <c r="B20"/>
  <c r="C20"/>
  <c r="D20"/>
  <c r="K20" s="1"/>
  <c r="E20"/>
  <c r="F20"/>
  <c r="G20"/>
  <c r="A21"/>
  <c r="B21"/>
  <c r="C21"/>
  <c r="D21"/>
  <c r="K21" s="1"/>
  <c r="E21"/>
  <c r="F21"/>
  <c r="G21"/>
  <c r="A22"/>
  <c r="B22"/>
  <c r="C22"/>
  <c r="D22"/>
  <c r="K22" s="1"/>
  <c r="E22"/>
  <c r="F22"/>
  <c r="G22"/>
  <c r="A23"/>
  <c r="B23"/>
  <c r="C23"/>
  <c r="K23"/>
  <c r="E23"/>
  <c r="F23"/>
  <c r="G23"/>
  <c r="B2"/>
  <c r="C2"/>
  <c r="D2"/>
  <c r="E2"/>
  <c r="F2"/>
  <c r="G2"/>
  <c r="G4"/>
  <c r="F4"/>
  <c r="D4"/>
  <c r="K4" s="1"/>
  <c r="E4"/>
  <c r="B4"/>
  <c r="C4"/>
  <c r="A4"/>
  <c r="O161" i="3"/>
  <c r="N161"/>
  <c r="O154"/>
  <c r="N154"/>
  <c r="O153"/>
  <c r="N153"/>
  <c r="O152"/>
  <c r="N152"/>
  <c r="G212"/>
  <c r="I23" i="15" s="1"/>
  <c r="J23" s="1"/>
  <c r="G211" i="3"/>
  <c r="I22" i="15" s="1"/>
  <c r="J22" s="1"/>
  <c r="G210" i="3"/>
  <c r="I21" i="15" s="1"/>
  <c r="J21" s="1"/>
  <c r="I20"/>
  <c r="J20" s="1"/>
  <c r="G208" i="3"/>
  <c r="I19" i="15" s="1"/>
  <c r="J19" s="1"/>
  <c r="G207" i="3"/>
  <c r="I18" i="15" s="1"/>
  <c r="J18" s="1"/>
  <c r="G206" i="3"/>
  <c r="I17" i="15" s="1"/>
  <c r="J17" s="1"/>
  <c r="G205" i="3"/>
  <c r="I16" i="15" s="1"/>
  <c r="J16" s="1"/>
  <c r="G204" i="3"/>
  <c r="I15" i="15" s="1"/>
  <c r="J15" s="1"/>
  <c r="G194" i="3"/>
  <c r="I5" i="15" s="1"/>
  <c r="J5" s="1"/>
  <c r="G195" i="3"/>
  <c r="G196"/>
  <c r="I7" i="15" s="1"/>
  <c r="J7" s="1"/>
  <c r="G197" i="3"/>
  <c r="I8" i="15" s="1"/>
  <c r="J8" s="1"/>
  <c r="G198" i="3"/>
  <c r="I9" i="15" s="1"/>
  <c r="J9" s="1"/>
  <c r="G199" i="3"/>
  <c r="I10" i="15" s="1"/>
  <c r="J10" s="1"/>
  <c r="G200" i="3"/>
  <c r="I11" i="15" s="1"/>
  <c r="J11" s="1"/>
  <c r="G201" i="3"/>
  <c r="I12" i="15" s="1"/>
  <c r="J12" s="1"/>
  <c r="G202" i="3"/>
  <c r="I13" i="15" s="1"/>
  <c r="J13" s="1"/>
  <c r="G203" i="3"/>
  <c r="I14" i="15" s="1"/>
  <c r="J14" s="1"/>
  <c r="G193" i="3"/>
  <c r="I4" i="15" s="1"/>
  <c r="J4" s="1"/>
  <c r="O13" i="6"/>
  <c r="O9"/>
  <c r="G177" i="3" s="1"/>
  <c r="A81" i="14"/>
  <c r="A63"/>
  <c r="A62"/>
  <c r="A61"/>
  <c r="G60"/>
  <c r="A60" s="1"/>
  <c r="J60" s="1"/>
  <c r="G59"/>
  <c r="A59" s="1"/>
  <c r="A79" s="1"/>
  <c r="G58"/>
  <c r="A58" s="1"/>
  <c r="J58" s="1"/>
  <c r="G57"/>
  <c r="A57"/>
  <c r="A77" s="1"/>
  <c r="G56"/>
  <c r="A56"/>
  <c r="J56" s="1"/>
  <c r="G55"/>
  <c r="A55"/>
  <c r="A75" s="1"/>
  <c r="G54"/>
  <c r="A54"/>
  <c r="J54" s="1"/>
  <c r="G53"/>
  <c r="A53"/>
  <c r="A73" s="1"/>
  <c r="A52"/>
  <c r="A72" s="1"/>
  <c r="A51"/>
  <c r="A71" s="1"/>
  <c r="G50"/>
  <c r="A50"/>
  <c r="J50" s="1"/>
  <c r="G49"/>
  <c r="A49"/>
  <c r="A69" s="1"/>
  <c r="I48"/>
  <c r="H48"/>
  <c r="C48"/>
  <c r="B48"/>
  <c r="G47"/>
  <c r="B47"/>
  <c r="A47"/>
  <c r="J44"/>
  <c r="L44" s="1"/>
  <c r="J43"/>
  <c r="L43" s="1"/>
  <c r="J42"/>
  <c r="L42" s="1"/>
  <c r="M40"/>
  <c r="G40"/>
  <c r="G39"/>
  <c r="F39" s="1"/>
  <c r="G38"/>
  <c r="F38" s="1"/>
  <c r="G37"/>
  <c r="F37" s="1"/>
  <c r="G36"/>
  <c r="F36" s="1"/>
  <c r="M29"/>
  <c r="J29"/>
  <c r="G29"/>
  <c r="J28"/>
  <c r="J27"/>
  <c r="J26"/>
  <c r="G26"/>
  <c r="J24"/>
  <c r="Q23"/>
  <c r="O23"/>
  <c r="O25" s="1"/>
  <c r="N23"/>
  <c r="J23"/>
  <c r="G23"/>
  <c r="O22"/>
  <c r="O24" s="1"/>
  <c r="N26" s="1"/>
  <c r="N22"/>
  <c r="G22"/>
  <c r="D21"/>
  <c r="D20"/>
  <c r="C17"/>
  <c r="C16"/>
  <c r="G78" i="8"/>
  <c r="G77"/>
  <c r="H77"/>
  <c r="H78"/>
  <c r="G79"/>
  <c r="H79"/>
  <c r="A79" s="1"/>
  <c r="G80"/>
  <c r="H80"/>
  <c r="A80" s="1"/>
  <c r="G81"/>
  <c r="H81"/>
  <c r="G82"/>
  <c r="H82"/>
  <c r="G83"/>
  <c r="G84"/>
  <c r="G86"/>
  <c r="G87"/>
  <c r="G76"/>
  <c r="A76" s="1"/>
  <c r="G89"/>
  <c r="G90"/>
  <c r="H90"/>
  <c r="G92"/>
  <c r="G93"/>
  <c r="G95"/>
  <c r="G96"/>
  <c r="G97"/>
  <c r="H97"/>
  <c r="A97" s="1"/>
  <c r="G98"/>
  <c r="H98"/>
  <c r="A98" s="1"/>
  <c r="G99"/>
  <c r="H99"/>
  <c r="A99" s="1"/>
  <c r="G100"/>
  <c r="H100"/>
  <c r="A100" s="1"/>
  <c r="G106"/>
  <c r="G107"/>
  <c r="H107"/>
  <c r="A107" s="1"/>
  <c r="G108"/>
  <c r="H108"/>
  <c r="A108" s="1"/>
  <c r="P4" i="6"/>
  <c r="Q4"/>
  <c r="O4"/>
  <c r="T3"/>
  <c r="D9" i="8"/>
  <c r="K11" s="1"/>
  <c r="I11" s="1"/>
  <c r="D8"/>
  <c r="M29"/>
  <c r="G25"/>
  <c r="G102" s="1"/>
  <c r="G26"/>
  <c r="G103" s="1"/>
  <c r="G27"/>
  <c r="G104" s="1"/>
  <c r="G24"/>
  <c r="G101" s="1"/>
  <c r="J24"/>
  <c r="J26"/>
  <c r="J27"/>
  <c r="J30"/>
  <c r="J31"/>
  <c r="L31" s="1"/>
  <c r="J32"/>
  <c r="L32" s="1"/>
  <c r="J33"/>
  <c r="L33" s="1"/>
  <c r="J12"/>
  <c r="J29"/>
  <c r="J14"/>
  <c r="J15"/>
  <c r="J17"/>
  <c r="J11"/>
  <c r="O11"/>
  <c r="O13" s="1"/>
  <c r="O10"/>
  <c r="O12" s="1"/>
  <c r="Q11"/>
  <c r="N11"/>
  <c r="N10"/>
  <c r="A68"/>
  <c r="O133" i="3"/>
  <c r="N133"/>
  <c r="I96" i="5"/>
  <c r="H96"/>
  <c r="L23" i="3"/>
  <c r="L22"/>
  <c r="L4" i="5"/>
  <c r="W4" s="1"/>
  <c r="M4"/>
  <c r="X4" s="1"/>
  <c r="N4"/>
  <c r="O4"/>
  <c r="P4"/>
  <c r="Q4"/>
  <c r="M3"/>
  <c r="N3"/>
  <c r="O3"/>
  <c r="P3"/>
  <c r="Q3"/>
  <c r="L3"/>
  <c r="A50" i="8"/>
  <c r="A49"/>
  <c r="A48"/>
  <c r="G47"/>
  <c r="A66"/>
  <c r="G45"/>
  <c r="A45"/>
  <c r="A63" s="1"/>
  <c r="G44"/>
  <c r="A62"/>
  <c r="G43"/>
  <c r="A43"/>
  <c r="A60" s="1"/>
  <c r="A41"/>
  <c r="A59" s="1"/>
  <c r="A40"/>
  <c r="A58" s="1"/>
  <c r="G39"/>
  <c r="A39"/>
  <c r="A57" s="1"/>
  <c r="G38"/>
  <c r="A38"/>
  <c r="I37"/>
  <c r="H37"/>
  <c r="C37"/>
  <c r="B37"/>
  <c r="G36"/>
  <c r="B36"/>
  <c r="A36"/>
  <c r="G17"/>
  <c r="G94" s="1"/>
  <c r="G14"/>
  <c r="G91" s="1"/>
  <c r="G29"/>
  <c r="G105" s="1"/>
  <c r="G11"/>
  <c r="G88" s="1"/>
  <c r="G10"/>
  <c r="I5" i="5" l="1"/>
  <c r="J5"/>
  <c r="V4"/>
  <c r="U4" s="1"/>
  <c r="A67" i="8"/>
  <c r="J47"/>
  <c r="A56"/>
  <c r="D69" s="1"/>
  <c r="Q34" i="6"/>
  <c r="P34"/>
  <c r="S34"/>
  <c r="O34"/>
  <c r="N35" s="1"/>
  <c r="B11" i="20" s="1"/>
  <c r="K5" i="15"/>
  <c r="I6"/>
  <c r="J6" s="1"/>
  <c r="B24" i="5" s="1"/>
  <c r="A77" i="8"/>
  <c r="A78"/>
  <c r="K8" i="15"/>
  <c r="K19"/>
  <c r="K3" i="14"/>
  <c r="J52"/>
  <c r="G178" i="3"/>
  <c r="K4" i="14" s="1"/>
  <c r="G176" i="3"/>
  <c r="K2" i="14" s="1"/>
  <c r="G175" i="3"/>
  <c r="B20" i="14"/>
  <c r="Q26"/>
  <c r="O26"/>
  <c r="B21"/>
  <c r="B36"/>
  <c r="J51"/>
  <c r="J59"/>
  <c r="A70"/>
  <c r="J82" s="1"/>
  <c r="A74"/>
  <c r="A76"/>
  <c r="A78"/>
  <c r="A80"/>
  <c r="Q24"/>
  <c r="K23"/>
  <c r="I23" s="1"/>
  <c r="B35"/>
  <c r="J49"/>
  <c r="J53"/>
  <c r="J55"/>
  <c r="J57"/>
  <c r="U3" i="6"/>
  <c r="U4"/>
  <c r="J39" i="8"/>
  <c r="J45"/>
  <c r="J38"/>
  <c r="J40"/>
  <c r="J43"/>
  <c r="J44"/>
  <c r="J41"/>
  <c r="Q12"/>
  <c r="N14"/>
  <c r="G97" i="5"/>
  <c r="B62" i="14" l="1"/>
  <c r="B50" i="12"/>
  <c r="B51" s="1"/>
  <c r="H41" i="14" s="1"/>
  <c r="K69" i="8"/>
  <c r="J1" i="15"/>
  <c r="W2" i="5"/>
  <c r="F69" i="8"/>
  <c r="C69"/>
  <c r="J69"/>
  <c r="G69"/>
  <c r="H69"/>
  <c r="B69"/>
  <c r="E69"/>
  <c r="I69"/>
  <c r="B10" i="20"/>
  <c r="C10" s="1"/>
  <c r="K6" i="15"/>
  <c r="H19" i="8" s="1"/>
  <c r="D82" i="14"/>
  <c r="I82"/>
  <c r="H82"/>
  <c r="E82"/>
  <c r="C20"/>
  <c r="F82"/>
  <c r="B82"/>
  <c r="K82"/>
  <c r="G82"/>
  <c r="C82"/>
  <c r="B61"/>
  <c r="B63"/>
  <c r="Q25"/>
  <c r="R24"/>
  <c r="M24" s="1"/>
  <c r="R23"/>
  <c r="M23" s="1"/>
  <c r="R29"/>
  <c r="R28"/>
  <c r="M28" s="1"/>
  <c r="R27"/>
  <c r="M27" s="1"/>
  <c r="R26"/>
  <c r="M26" s="1"/>
  <c r="I101"/>
  <c r="U2" i="6"/>
  <c r="H28" i="8" s="1"/>
  <c r="L28" s="1"/>
  <c r="R12"/>
  <c r="M12" s="1"/>
  <c r="R14"/>
  <c r="M14" s="1"/>
  <c r="R11"/>
  <c r="M11" s="1"/>
  <c r="R17"/>
  <c r="M17" s="1"/>
  <c r="R15"/>
  <c r="M15" s="1"/>
  <c r="R16"/>
  <c r="C5"/>
  <c r="Q14"/>
  <c r="O14"/>
  <c r="I9" i="19" l="1"/>
  <c r="A35" i="3" s="1"/>
  <c r="H96" i="8"/>
  <c r="A96" s="1"/>
  <c r="H39" i="14"/>
  <c r="L39" s="1"/>
  <c r="H38"/>
  <c r="L38" s="1"/>
  <c r="H36"/>
  <c r="L36" s="1"/>
  <c r="I81"/>
  <c r="I83" s="1"/>
  <c r="B81"/>
  <c r="B83" s="1"/>
  <c r="F81"/>
  <c r="F83" s="1"/>
  <c r="J81"/>
  <c r="J83" s="1"/>
  <c r="E81"/>
  <c r="E83" s="1"/>
  <c r="D81"/>
  <c r="D83" s="1"/>
  <c r="H81"/>
  <c r="H83" s="1"/>
  <c r="C81"/>
  <c r="C83" s="1"/>
  <c r="G81"/>
  <c r="G83" s="1"/>
  <c r="H27" i="8"/>
  <c r="K27" s="1"/>
  <c r="H24"/>
  <c r="H26"/>
  <c r="K26" s="1"/>
  <c r="D68"/>
  <c r="D70" s="1"/>
  <c r="Q13"/>
  <c r="I68"/>
  <c r="I70" s="1"/>
  <c r="J68"/>
  <c r="J70" s="1"/>
  <c r="B23"/>
  <c r="E68"/>
  <c r="E70" s="1"/>
  <c r="F68"/>
  <c r="F70" s="1"/>
  <c r="B24"/>
  <c r="B68"/>
  <c r="B70" s="1"/>
  <c r="G68"/>
  <c r="G70" s="1"/>
  <c r="C68"/>
  <c r="C70" s="1"/>
  <c r="H68"/>
  <c r="H70" s="1"/>
  <c r="C4"/>
  <c r="H68" i="5"/>
  <c r="H69"/>
  <c r="H70"/>
  <c r="H71"/>
  <c r="H73"/>
  <c r="H74"/>
  <c r="H75"/>
  <c r="H67"/>
  <c r="I95"/>
  <c r="H95"/>
  <c r="O43" i="3"/>
  <c r="O45"/>
  <c r="O47"/>
  <c r="O48"/>
  <c r="O64"/>
  <c r="O65"/>
  <c r="O66"/>
  <c r="O67"/>
  <c r="O68"/>
  <c r="O69"/>
  <c r="O70"/>
  <c r="O72"/>
  <c r="O73"/>
  <c r="O74"/>
  <c r="O75"/>
  <c r="O76"/>
  <c r="O77"/>
  <c r="O78"/>
  <c r="O79"/>
  <c r="O82"/>
  <c r="O83"/>
  <c r="O84"/>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51"/>
  <c r="O132"/>
  <c r="O39"/>
  <c r="N130"/>
  <c r="N131"/>
  <c r="N151"/>
  <c r="N132"/>
  <c r="N43"/>
  <c r="N45"/>
  <c r="N47"/>
  <c r="N48"/>
  <c r="N64"/>
  <c r="N65"/>
  <c r="N66"/>
  <c r="N67"/>
  <c r="N68"/>
  <c r="N69"/>
  <c r="N70"/>
  <c r="N72"/>
  <c r="N73"/>
  <c r="N74"/>
  <c r="N76"/>
  <c r="N77"/>
  <c r="N78"/>
  <c r="N79"/>
  <c r="N82"/>
  <c r="N83"/>
  <c r="N84"/>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39"/>
  <c r="G43" i="6" l="1"/>
  <c r="B24" s="1"/>
  <c r="F35" i="3"/>
  <c r="B35"/>
  <c r="H35"/>
  <c r="C9" i="19" s="1"/>
  <c r="E35" i="3"/>
  <c r="A83" i="14"/>
  <c r="B34" s="1"/>
  <c r="A70" i="8"/>
  <c r="B8"/>
  <c r="B9"/>
  <c r="J12" i="5"/>
  <c r="D8" i="4"/>
  <c r="B6"/>
  <c r="G4" i="3"/>
  <c r="G5"/>
  <c r="G6"/>
  <c r="G7"/>
  <c r="G8"/>
  <c r="H5"/>
  <c r="H6"/>
  <c r="H8"/>
  <c r="H4"/>
  <c r="N7" i="2"/>
  <c r="N22"/>
  <c r="N21"/>
  <c r="N20"/>
  <c r="O7"/>
  <c r="O21"/>
  <c r="O22"/>
  <c r="O20"/>
  <c r="K7"/>
  <c r="K19"/>
  <c r="K15"/>
  <c r="K12"/>
  <c r="K10"/>
  <c r="K9"/>
  <c r="K8"/>
  <c r="K6"/>
  <c r="K5"/>
  <c r="I22"/>
  <c r="J22" s="1"/>
  <c r="A65" i="5"/>
  <c r="A66"/>
  <c r="A67"/>
  <c r="A68"/>
  <c r="A69"/>
  <c r="A70"/>
  <c r="A71"/>
  <c r="A72"/>
  <c r="A73"/>
  <c r="A74"/>
  <c r="A75"/>
  <c r="A76"/>
  <c r="A77"/>
  <c r="A78"/>
  <c r="A79"/>
  <c r="A80"/>
  <c r="A81"/>
  <c r="A82"/>
  <c r="A83"/>
  <c r="A84"/>
  <c r="N4" i="2"/>
  <c r="O4" s="1"/>
  <c r="N5"/>
  <c r="O5" s="1"/>
  <c r="N6"/>
  <c r="O6" s="1"/>
  <c r="N8"/>
  <c r="O8" s="1"/>
  <c r="N9"/>
  <c r="O9" s="1"/>
  <c r="N10"/>
  <c r="O10" s="1"/>
  <c r="N11"/>
  <c r="O11" s="1"/>
  <c r="N12"/>
  <c r="O12" s="1"/>
  <c r="N13"/>
  <c r="O13" s="1"/>
  <c r="N14"/>
  <c r="O14" s="1"/>
  <c r="N15"/>
  <c r="O15" s="1"/>
  <c r="N16"/>
  <c r="O16" s="1"/>
  <c r="N17"/>
  <c r="O17" s="1"/>
  <c r="N18"/>
  <c r="O18" s="1"/>
  <c r="N19"/>
  <c r="O19" s="1"/>
  <c r="O3"/>
  <c r="A2"/>
  <c r="A37" i="3"/>
  <c r="D2" i="6"/>
  <c r="D1"/>
  <c r="G185" i="3" s="1"/>
  <c r="F29"/>
  <c r="D25" s="1"/>
  <c r="D28"/>
  <c r="G14"/>
  <c r="F14"/>
  <c r="E14"/>
  <c r="D14"/>
  <c r="C14"/>
  <c r="G13"/>
  <c r="F13"/>
  <c r="E13"/>
  <c r="D13"/>
  <c r="C13"/>
  <c r="G12"/>
  <c r="F12"/>
  <c r="E12"/>
  <c r="D12"/>
  <c r="C12"/>
  <c r="G11"/>
  <c r="F11"/>
  <c r="E11"/>
  <c r="D11"/>
  <c r="C11"/>
  <c r="G10"/>
  <c r="F10"/>
  <c r="E10"/>
  <c r="D10"/>
  <c r="C10"/>
  <c r="G9"/>
  <c r="F9"/>
  <c r="E9"/>
  <c r="D9"/>
  <c r="C9"/>
  <c r="J21" i="2" s="1"/>
  <c r="I21"/>
  <c r="I20"/>
  <c r="I19"/>
  <c r="I18"/>
  <c r="J17" s="1"/>
  <c r="I17"/>
  <c r="I16"/>
  <c r="J15" s="1"/>
  <c r="I15"/>
  <c r="I14"/>
  <c r="J13" s="1"/>
  <c r="I13"/>
  <c r="I12"/>
  <c r="J11" s="1"/>
  <c r="I11"/>
  <c r="I10"/>
  <c r="J9" s="1"/>
  <c r="I9"/>
  <c r="I8"/>
  <c r="J7" s="1"/>
  <c r="I7"/>
  <c r="I6"/>
  <c r="J5" s="1"/>
  <c r="I5"/>
  <c r="I4"/>
  <c r="J3" s="1"/>
  <c r="I3"/>
  <c r="J19" l="1"/>
  <c r="F37" i="3"/>
  <c r="A13" i="6" s="1"/>
  <c r="B13" s="1"/>
  <c r="C37" i="3"/>
  <c r="B13" i="5" s="1"/>
  <c r="C35" i="3"/>
  <c r="B37"/>
  <c r="A11" i="6" s="1"/>
  <c r="C36" i="3"/>
  <c r="O5" i="6"/>
  <c r="B3" i="12" s="1"/>
  <c r="U25" i="6"/>
  <c r="U26" s="1"/>
  <c r="H60" i="7"/>
  <c r="H62"/>
  <c r="H64"/>
  <c r="H66"/>
  <c r="H68"/>
  <c r="H70"/>
  <c r="H72"/>
  <c r="H74"/>
  <c r="H76"/>
  <c r="H78"/>
  <c r="H80"/>
  <c r="H82"/>
  <c r="H84"/>
  <c r="H86"/>
  <c r="H88"/>
  <c r="H90"/>
  <c r="H94"/>
  <c r="H98"/>
  <c r="H104"/>
  <c r="H108"/>
  <c r="H112"/>
  <c r="L33" i="19"/>
  <c r="H61" i="7"/>
  <c r="H63"/>
  <c r="H65"/>
  <c r="H67"/>
  <c r="H69"/>
  <c r="H71"/>
  <c r="H73"/>
  <c r="H75"/>
  <c r="H77"/>
  <c r="H79"/>
  <c r="H81"/>
  <c r="H83"/>
  <c r="H85"/>
  <c r="H87"/>
  <c r="H89"/>
  <c r="H91"/>
  <c r="H93"/>
  <c r="H95"/>
  <c r="H97"/>
  <c r="H99"/>
  <c r="H101"/>
  <c r="H103"/>
  <c r="H105"/>
  <c r="H107"/>
  <c r="H109"/>
  <c r="H111"/>
  <c r="H113"/>
  <c r="K33" i="19"/>
  <c r="M33"/>
  <c r="O33"/>
  <c r="H92" i="7"/>
  <c r="H96"/>
  <c r="H100"/>
  <c r="H102"/>
  <c r="H106"/>
  <c r="H110"/>
  <c r="J33" i="19"/>
  <c r="N33"/>
  <c r="I33"/>
  <c r="H59" i="7"/>
  <c r="Q2" i="2"/>
  <c r="R2"/>
  <c r="H2"/>
  <c r="F2"/>
  <c r="K2"/>
  <c r="H16" i="7" s="1"/>
  <c r="I2" i="2"/>
  <c r="G2"/>
  <c r="N2"/>
  <c r="O2"/>
  <c r="L2"/>
  <c r="E4" i="4" s="1"/>
  <c r="E37" i="3"/>
  <c r="B11" i="6"/>
  <c r="G183" i="3"/>
  <c r="G181"/>
  <c r="G182"/>
  <c r="G184"/>
  <c r="B48" i="12"/>
  <c r="B49" s="1"/>
  <c r="P37" i="3"/>
  <c r="N37"/>
  <c r="L37"/>
  <c r="Q37"/>
  <c r="O37"/>
  <c r="M37"/>
  <c r="D27"/>
  <c r="H13"/>
  <c r="H12"/>
  <c r="D26"/>
  <c r="F60" i="14"/>
  <c r="F58"/>
  <c r="F57"/>
  <c r="F56"/>
  <c r="F55"/>
  <c r="F54"/>
  <c r="F53"/>
  <c r="D52"/>
  <c r="F51"/>
  <c r="F50"/>
  <c r="F49"/>
  <c r="B37"/>
  <c r="H27"/>
  <c r="F59"/>
  <c r="D58"/>
  <c r="D57"/>
  <c r="D56"/>
  <c r="D55"/>
  <c r="D54"/>
  <c r="D53"/>
  <c r="F52"/>
  <c r="D51"/>
  <c r="D50"/>
  <c r="D49"/>
  <c r="H83" i="8"/>
  <c r="H84"/>
  <c r="H101"/>
  <c r="A101" s="1"/>
  <c r="H104"/>
  <c r="A104" s="1"/>
  <c r="B22"/>
  <c r="C8"/>
  <c r="B50"/>
  <c r="B49"/>
  <c r="B48"/>
  <c r="H14" i="3"/>
  <c r="H10"/>
  <c r="H9"/>
  <c r="H11"/>
  <c r="G24" i="6"/>
  <c r="H24"/>
  <c r="C24"/>
  <c r="D24"/>
  <c r="I24"/>
  <c r="E24"/>
  <c r="J24"/>
  <c r="J23" s="1"/>
  <c r="J22" s="1"/>
  <c r="F24"/>
  <c r="J4" i="2"/>
  <c r="J6"/>
  <c r="J8"/>
  <c r="J2" s="1"/>
  <c r="J10"/>
  <c r="J12"/>
  <c r="J14"/>
  <c r="J16"/>
  <c r="J18"/>
  <c r="J20"/>
  <c r="I4" i="5" l="1"/>
  <c r="K2" i="6" s="1"/>
  <c r="J4" i="5"/>
  <c r="H37" i="14"/>
  <c r="L37" s="1"/>
  <c r="H25" i="8"/>
  <c r="L25" s="1"/>
  <c r="E11" i="25"/>
  <c r="B20" i="12"/>
  <c r="E12" i="25"/>
  <c r="E13"/>
  <c r="B36" i="12"/>
  <c r="Q15" i="8" s="1"/>
  <c r="B34" i="12"/>
  <c r="H40" i="14" s="1"/>
  <c r="L40" s="1"/>
  <c r="B38" i="12"/>
  <c r="H17" i="8" s="1"/>
  <c r="B25" i="12"/>
  <c r="B42" i="8" s="1"/>
  <c r="B32" i="12"/>
  <c r="H23" i="14" s="1"/>
  <c r="L23" s="1"/>
  <c r="H14" i="8"/>
  <c r="L14" s="1"/>
  <c r="B38"/>
  <c r="B37" i="12"/>
  <c r="C25"/>
  <c r="B33"/>
  <c r="H24" i="14" s="1"/>
  <c r="L24" s="1"/>
  <c r="I36" i="19"/>
  <c r="I35"/>
  <c r="I42"/>
  <c r="I41"/>
  <c r="I40"/>
  <c r="I39"/>
  <c r="I38"/>
  <c r="I37"/>
  <c r="J39"/>
  <c r="J37"/>
  <c r="J35"/>
  <c r="J42"/>
  <c r="J41"/>
  <c r="J40"/>
  <c r="J38"/>
  <c r="J36"/>
  <c r="M41"/>
  <c r="M39"/>
  <c r="M36"/>
  <c r="M35"/>
  <c r="M42"/>
  <c r="M40"/>
  <c r="M38"/>
  <c r="M37"/>
  <c r="N42"/>
  <c r="N41"/>
  <c r="N40"/>
  <c r="N39"/>
  <c r="N38"/>
  <c r="N37"/>
  <c r="N36"/>
  <c r="N35"/>
  <c r="O42"/>
  <c r="O41"/>
  <c r="O40"/>
  <c r="O38"/>
  <c r="O37"/>
  <c r="O39"/>
  <c r="O36"/>
  <c r="O35"/>
  <c r="K42"/>
  <c r="K40"/>
  <c r="K39"/>
  <c r="K38"/>
  <c r="K37"/>
  <c r="K36"/>
  <c r="K35"/>
  <c r="K41"/>
  <c r="L41"/>
  <c r="L39"/>
  <c r="L38"/>
  <c r="L37"/>
  <c r="L42"/>
  <c r="L40"/>
  <c r="L36"/>
  <c r="L35"/>
  <c r="H8" i="7"/>
  <c r="J8" s="1"/>
  <c r="H4"/>
  <c r="J4" s="1"/>
  <c r="H6"/>
  <c r="J6" s="1"/>
  <c r="H9"/>
  <c r="J9" s="1"/>
  <c r="H11"/>
  <c r="J11" s="1"/>
  <c r="H14"/>
  <c r="J14" s="1"/>
  <c r="H19"/>
  <c r="J19" s="1"/>
  <c r="H21"/>
  <c r="J21" s="1"/>
  <c r="H23"/>
  <c r="J23" s="1"/>
  <c r="H5"/>
  <c r="J5" s="1"/>
  <c r="J16" s="1"/>
  <c r="H7"/>
  <c r="J7" s="1"/>
  <c r="H10"/>
  <c r="J10" s="1"/>
  <c r="H12"/>
  <c r="J12" s="1"/>
  <c r="H13"/>
  <c r="J13" s="1"/>
  <c r="H15"/>
  <c r="H20"/>
  <c r="J20" s="1"/>
  <c r="H22"/>
  <c r="J22" s="1"/>
  <c r="B108" i="22"/>
  <c r="B106"/>
  <c r="B104"/>
  <c r="B109"/>
  <c r="B107"/>
  <c r="B105"/>
  <c r="B103"/>
  <c r="H15" i="8"/>
  <c r="H92" s="1"/>
  <c r="A92" s="1"/>
  <c r="B25"/>
  <c r="B11" i="5"/>
  <c r="C11" i="6"/>
  <c r="C3" i="12"/>
  <c r="C5"/>
  <c r="C7"/>
  <c r="C9"/>
  <c r="C11"/>
  <c r="C13"/>
  <c r="C15"/>
  <c r="C18"/>
  <c r="C20"/>
  <c r="C22"/>
  <c r="C24"/>
  <c r="I60" i="14" s="1"/>
  <c r="B4" i="12"/>
  <c r="B6"/>
  <c r="B8"/>
  <c r="B10"/>
  <c r="B12"/>
  <c r="B14"/>
  <c r="B17"/>
  <c r="B19"/>
  <c r="B21"/>
  <c r="B23"/>
  <c r="H59" i="14" s="1"/>
  <c r="K59" s="1"/>
  <c r="B26" i="12"/>
  <c r="B13"/>
  <c r="B18"/>
  <c r="B22"/>
  <c r="C4"/>
  <c r="C6"/>
  <c r="C8"/>
  <c r="C10"/>
  <c r="C12"/>
  <c r="C14"/>
  <c r="C17"/>
  <c r="C19"/>
  <c r="C21"/>
  <c r="C23"/>
  <c r="I59" i="14" s="1"/>
  <c r="C26" i="12"/>
  <c r="B5"/>
  <c r="B7"/>
  <c r="B9"/>
  <c r="B41" i="8" s="1"/>
  <c r="B11" i="12"/>
  <c r="B15"/>
  <c r="B58" i="14" s="1"/>
  <c r="B24" i="12"/>
  <c r="I23" i="6"/>
  <c r="H23" s="1"/>
  <c r="H30" i="8"/>
  <c r="L27" i="14"/>
  <c r="D41" i="8"/>
  <c r="I88"/>
  <c r="D45"/>
  <c r="D43"/>
  <c r="H58" i="14"/>
  <c r="I58"/>
  <c r="H93" i="8"/>
  <c r="A93" s="1"/>
  <c r="L26"/>
  <c r="H103"/>
  <c r="A103" s="1"/>
  <c r="L27"/>
  <c r="F40"/>
  <c r="D39"/>
  <c r="F47"/>
  <c r="F44"/>
  <c r="D38"/>
  <c r="F38"/>
  <c r="D44"/>
  <c r="F46"/>
  <c r="F39"/>
  <c r="F43"/>
  <c r="D40"/>
  <c r="F41"/>
  <c r="F45"/>
  <c r="G26" i="3"/>
  <c r="I23"/>
  <c r="I22"/>
  <c r="N2"/>
  <c r="K5" i="6"/>
  <c r="K4" s="1"/>
  <c r="D4" i="4"/>
  <c r="F4" s="1"/>
  <c r="B4"/>
  <c r="B9" i="5"/>
  <c r="B10"/>
  <c r="O2" i="3"/>
  <c r="B3" i="4" s="1"/>
  <c r="B12" i="7" l="1"/>
  <c r="E4" i="22"/>
  <c r="E6" s="1"/>
  <c r="K17" i="6"/>
  <c r="K19"/>
  <c r="K21"/>
  <c r="I18" i="5" s="1"/>
  <c r="K20" i="6"/>
  <c r="B15" i="5"/>
  <c r="K25" i="8"/>
  <c r="H102"/>
  <c r="A102" s="1"/>
  <c r="C18" i="26"/>
  <c r="C16" s="1"/>
  <c r="B18"/>
  <c r="H11" i="8"/>
  <c r="H88" s="1"/>
  <c r="A81" s="1"/>
  <c r="H29" i="14"/>
  <c r="L29" s="1"/>
  <c r="I42" i="8"/>
  <c r="H42"/>
  <c r="K42" s="1"/>
  <c r="C42"/>
  <c r="H29"/>
  <c r="Q27" i="14"/>
  <c r="H28"/>
  <c r="H26" s="1"/>
  <c r="L26" s="1"/>
  <c r="Q28"/>
  <c r="Q16" i="8"/>
  <c r="H12"/>
  <c r="L12" s="1"/>
  <c r="L15"/>
  <c r="H94"/>
  <c r="A94" s="1"/>
  <c r="L17"/>
  <c r="L30"/>
  <c r="K30"/>
  <c r="J15" i="7"/>
  <c r="K8" i="6"/>
  <c r="K6"/>
  <c r="K16"/>
  <c r="J13" i="3"/>
  <c r="M5" i="6"/>
  <c r="M4" s="1"/>
  <c r="B102" i="22"/>
  <c r="N4" s="1"/>
  <c r="N6" s="1"/>
  <c r="B14" i="5"/>
  <c r="B5" i="4"/>
  <c r="E7" s="1"/>
  <c r="H46" i="8"/>
  <c r="K46" s="1"/>
  <c r="I22" i="6"/>
  <c r="I47" i="8"/>
  <c r="H106"/>
  <c r="A106" s="1"/>
  <c r="K58" i="14"/>
  <c r="L41"/>
  <c r="I44" i="8"/>
  <c r="I55" i="14"/>
  <c r="I57"/>
  <c r="C43" i="8"/>
  <c r="C53" i="14"/>
  <c r="H43" i="8"/>
  <c r="H53" i="14"/>
  <c r="H39" i="8"/>
  <c r="H50" i="14"/>
  <c r="H57"/>
  <c r="B40" i="8"/>
  <c r="H40" s="1"/>
  <c r="B51" i="14"/>
  <c r="K51" s="1"/>
  <c r="B43" i="8"/>
  <c r="B53" i="14"/>
  <c r="B57"/>
  <c r="I43" i="8"/>
  <c r="I53" i="14"/>
  <c r="B49"/>
  <c r="I38" i="8"/>
  <c r="I49" i="14"/>
  <c r="I45" i="8"/>
  <c r="I56" i="14"/>
  <c r="C39" i="8"/>
  <c r="C50" i="14"/>
  <c r="C41" i="8"/>
  <c r="C52" i="14"/>
  <c r="C45" i="8"/>
  <c r="C56" i="14"/>
  <c r="H52"/>
  <c r="H38" i="8"/>
  <c r="H49" i="14"/>
  <c r="H45" i="8"/>
  <c r="H56" i="14"/>
  <c r="B39" i="8"/>
  <c r="B50" i="14"/>
  <c r="K41" i="8"/>
  <c r="B52" i="14"/>
  <c r="K52" s="1"/>
  <c r="B45" i="8"/>
  <c r="B56" i="14"/>
  <c r="I52"/>
  <c r="I46" i="8"/>
  <c r="C40"/>
  <c r="I40" s="1"/>
  <c r="C51" i="14"/>
  <c r="C57"/>
  <c r="H44" i="8"/>
  <c r="H55" i="14"/>
  <c r="H47" i="8"/>
  <c r="H60" i="14"/>
  <c r="K60" s="1"/>
  <c r="B55"/>
  <c r="C38" i="8"/>
  <c r="C49" i="14"/>
  <c r="I39" i="8"/>
  <c r="I50" i="14"/>
  <c r="C55"/>
  <c r="I54"/>
  <c r="C54"/>
  <c r="C58"/>
  <c r="H54"/>
  <c r="B54"/>
  <c r="H91" i="8"/>
  <c r="A91" s="1"/>
  <c r="H11" i="6"/>
  <c r="J11" s="1"/>
  <c r="H22"/>
  <c r="G23"/>
  <c r="H13"/>
  <c r="J13" s="1"/>
  <c r="H12"/>
  <c r="J12" s="1"/>
  <c r="H10"/>
  <c r="J10" s="1"/>
  <c r="H14"/>
  <c r="J14" s="1"/>
  <c r="J12" i="3"/>
  <c r="J10"/>
  <c r="E28"/>
  <c r="I12"/>
  <c r="K62" l="1"/>
  <c r="G62" s="1"/>
  <c r="H62" s="1"/>
  <c r="K164"/>
  <c r="G164" s="1"/>
  <c r="H164" s="1"/>
  <c r="K63"/>
  <c r="G63" s="1"/>
  <c r="H63" s="1"/>
  <c r="K40"/>
  <c r="G40" s="1"/>
  <c r="H40" s="1"/>
  <c r="K18" i="6"/>
  <c r="E30" i="22"/>
  <c r="E22"/>
  <c r="E13"/>
  <c r="E14"/>
  <c r="E31"/>
  <c r="E15"/>
  <c r="E12"/>
  <c r="E20"/>
  <c r="E28"/>
  <c r="E11"/>
  <c r="E27"/>
  <c r="E25"/>
  <c r="E10"/>
  <c r="E18"/>
  <c r="E26"/>
  <c r="E7"/>
  <c r="E23"/>
  <c r="E17"/>
  <c r="E21"/>
  <c r="E8"/>
  <c r="E16"/>
  <c r="E24"/>
  <c r="E32"/>
  <c r="E19"/>
  <c r="E9"/>
  <c r="E29"/>
  <c r="E2"/>
  <c r="K23" i="8"/>
  <c r="K85" i="3"/>
  <c r="G85" s="1"/>
  <c r="H85" s="1"/>
  <c r="K150"/>
  <c r="G150" s="1"/>
  <c r="H150" s="1"/>
  <c r="K149"/>
  <c r="G149" s="1"/>
  <c r="H149" s="1"/>
  <c r="K81"/>
  <c r="G81" s="1"/>
  <c r="H81" s="1"/>
  <c r="K80"/>
  <c r="G80" s="1"/>
  <c r="H80" s="1"/>
  <c r="K71"/>
  <c r="G71" s="1"/>
  <c r="H71" s="1"/>
  <c r="K54"/>
  <c r="G54" s="1"/>
  <c r="H54" s="1"/>
  <c r="K58"/>
  <c r="G58" s="1"/>
  <c r="H58" s="1"/>
  <c r="K60"/>
  <c r="G60" s="1"/>
  <c r="H60" s="1"/>
  <c r="K55"/>
  <c r="G55" s="1"/>
  <c r="H55" s="1"/>
  <c r="K59"/>
  <c r="G59" s="1"/>
  <c r="H59" s="1"/>
  <c r="K56"/>
  <c r="G56" s="1"/>
  <c r="H56" s="1"/>
  <c r="K57"/>
  <c r="G57" s="1"/>
  <c r="H57" s="1"/>
  <c r="K61"/>
  <c r="G61" s="1"/>
  <c r="H61" s="1"/>
  <c r="K162"/>
  <c r="G162" s="1"/>
  <c r="H162" s="1"/>
  <c r="K163"/>
  <c r="G163" s="1"/>
  <c r="H163" s="1"/>
  <c r="B16" i="26"/>
  <c r="K145" i="3"/>
  <c r="G145" s="1"/>
  <c r="H145" s="1"/>
  <c r="K146"/>
  <c r="G146" s="1"/>
  <c r="H146" s="1"/>
  <c r="K147"/>
  <c r="G147" s="1"/>
  <c r="H147" s="1"/>
  <c r="K148"/>
  <c r="G148" s="1"/>
  <c r="H148" s="1"/>
  <c r="B16" i="7"/>
  <c r="K52" i="3"/>
  <c r="G52" s="1"/>
  <c r="H52" s="1"/>
  <c r="K44"/>
  <c r="G44" s="1"/>
  <c r="H44" s="1"/>
  <c r="K53"/>
  <c r="G53" s="1"/>
  <c r="H53" s="1"/>
  <c r="K49"/>
  <c r="G49" s="1"/>
  <c r="H49" s="1"/>
  <c r="K46"/>
  <c r="G46" s="1"/>
  <c r="H46" s="1"/>
  <c r="K51"/>
  <c r="G51" s="1"/>
  <c r="H51" s="1"/>
  <c r="K50"/>
  <c r="G50" s="1"/>
  <c r="H50" s="1"/>
  <c r="K55" i="14"/>
  <c r="K40" i="8"/>
  <c r="A88"/>
  <c r="L11"/>
  <c r="K41" i="3"/>
  <c r="G41" s="1"/>
  <c r="H41" s="1"/>
  <c r="K42"/>
  <c r="G42" s="1"/>
  <c r="H42" s="1"/>
  <c r="L28" i="14"/>
  <c r="H105" i="8"/>
  <c r="A105" s="1"/>
  <c r="L29"/>
  <c r="H89"/>
  <c r="A89" s="1"/>
  <c r="H30" i="14"/>
  <c r="K165" i="3"/>
  <c r="G165" s="1"/>
  <c r="K166"/>
  <c r="G166" s="1"/>
  <c r="H166" s="1"/>
  <c r="K144"/>
  <c r="G144" s="1"/>
  <c r="H144" s="1"/>
  <c r="K169"/>
  <c r="G169" s="1"/>
  <c r="H169" s="1"/>
  <c r="K168"/>
  <c r="G168" s="1"/>
  <c r="H168" s="1"/>
  <c r="K170"/>
  <c r="G170" s="1"/>
  <c r="H170" s="1"/>
  <c r="B7" i="7"/>
  <c r="J9" i="3"/>
  <c r="B15" i="7"/>
  <c r="B9"/>
  <c r="B5"/>
  <c r="B13"/>
  <c r="B4"/>
  <c r="B6"/>
  <c r="B19"/>
  <c r="L24" i="3" s="1"/>
  <c r="B14" i="7"/>
  <c r="B10"/>
  <c r="B8"/>
  <c r="B11"/>
  <c r="B2"/>
  <c r="B20"/>
  <c r="B23"/>
  <c r="B21"/>
  <c r="B22"/>
  <c r="K141" i="3"/>
  <c r="G141" s="1"/>
  <c r="H141" s="1"/>
  <c r="K140"/>
  <c r="G140" s="1"/>
  <c r="H140" s="1"/>
  <c r="K142"/>
  <c r="G142" s="1"/>
  <c r="H142" s="1"/>
  <c r="K143"/>
  <c r="G143" s="1"/>
  <c r="K159"/>
  <c r="G159" s="1"/>
  <c r="H159" s="1"/>
  <c r="N7" i="22"/>
  <c r="N8"/>
  <c r="N9"/>
  <c r="N10"/>
  <c r="N11"/>
  <c r="N12"/>
  <c r="N13"/>
  <c r="N14"/>
  <c r="N15"/>
  <c r="N16"/>
  <c r="N17"/>
  <c r="N18"/>
  <c r="N19"/>
  <c r="N20"/>
  <c r="N21"/>
  <c r="N22"/>
  <c r="N23"/>
  <c r="N24"/>
  <c r="N25"/>
  <c r="N26"/>
  <c r="N27"/>
  <c r="N28"/>
  <c r="N29"/>
  <c r="N30"/>
  <c r="N31"/>
  <c r="N32"/>
  <c r="K44" i="8"/>
  <c r="K47"/>
  <c r="J15" i="6"/>
  <c r="D7" i="4"/>
  <c r="F7" s="1"/>
  <c r="K45" i="8"/>
  <c r="K39"/>
  <c r="K43"/>
  <c r="K38"/>
  <c r="K57" i="14"/>
  <c r="K53"/>
  <c r="K56"/>
  <c r="K54"/>
  <c r="K50"/>
  <c r="K49"/>
  <c r="L24" i="8"/>
  <c r="I10" i="3"/>
  <c r="I9"/>
  <c r="F23" i="6"/>
  <c r="G22"/>
  <c r="I14" i="3"/>
  <c r="J14"/>
  <c r="I13"/>
  <c r="B17" i="7" l="1"/>
  <c r="C12" i="8"/>
  <c r="B12" s="1"/>
  <c r="G188" i="3"/>
  <c r="G190"/>
  <c r="G187"/>
  <c r="G189"/>
  <c r="K74" i="5"/>
  <c r="H18" i="8"/>
  <c r="H95" s="1"/>
  <c r="H165" i="3"/>
  <c r="K71" i="5"/>
  <c r="H143" i="3"/>
  <c r="C24" i="14"/>
  <c r="B24" s="1"/>
  <c r="B26" s="1"/>
  <c r="E23" i="6"/>
  <c r="F22"/>
  <c r="J8" i="3"/>
  <c r="I8"/>
  <c r="G16" i="5" l="1"/>
  <c r="I24" i="3"/>
  <c r="I18"/>
  <c r="L18" s="1"/>
  <c r="H86" i="8"/>
  <c r="D24" i="14"/>
  <c r="B7" s="1"/>
  <c r="F14" s="1"/>
  <c r="B14" i="8"/>
  <c r="H87"/>
  <c r="D12"/>
  <c r="E22" i="6"/>
  <c r="D23"/>
  <c r="D13" i="8" l="1"/>
  <c r="A109" s="1"/>
  <c r="F2" s="1"/>
  <c r="C23" i="6"/>
  <c r="D22"/>
  <c r="B23" l="1"/>
  <c r="C22"/>
  <c r="B22" l="1"/>
  <c r="L22" s="1"/>
  <c r="A34" i="5" l="1"/>
  <c r="G15" l="1"/>
  <c r="L4" i="22" s="1"/>
  <c r="L6" s="1"/>
  <c r="G28" i="3"/>
  <c r="K129"/>
  <c r="G129" s="1"/>
  <c r="K77"/>
  <c r="G77" s="1"/>
  <c r="H77" s="1"/>
  <c r="K99"/>
  <c r="G99" s="1"/>
  <c r="H99" s="1"/>
  <c r="K47"/>
  <c r="G47" s="1"/>
  <c r="H47" s="1"/>
  <c r="K161"/>
  <c r="G161" s="1"/>
  <c r="H161" s="1"/>
  <c r="K66"/>
  <c r="G66" s="1"/>
  <c r="H66" s="1"/>
  <c r="K135"/>
  <c r="G135" s="1"/>
  <c r="H135" s="1"/>
  <c r="K126"/>
  <c r="G126" s="1"/>
  <c r="H126" s="1"/>
  <c r="K155"/>
  <c r="G155" s="1"/>
  <c r="H155" s="1"/>
  <c r="K154"/>
  <c r="G154" s="1"/>
  <c r="H154" s="1"/>
  <c r="K90"/>
  <c r="G90" s="1"/>
  <c r="H90" s="1"/>
  <c r="K45"/>
  <c r="G45" s="1"/>
  <c r="H45" s="1"/>
  <c r="K107"/>
  <c r="G107" s="1"/>
  <c r="H107" s="1"/>
  <c r="K173"/>
  <c r="G173" s="1"/>
  <c r="H173" s="1"/>
  <c r="K158"/>
  <c r="G158" s="1"/>
  <c r="H158" s="1"/>
  <c r="K156"/>
  <c r="G156" s="1"/>
  <c r="H156" s="1"/>
  <c r="K152"/>
  <c r="G152" s="1"/>
  <c r="H152" s="1"/>
  <c r="K125"/>
  <c r="G125" s="1"/>
  <c r="H125" s="1"/>
  <c r="K133"/>
  <c r="G133" s="1"/>
  <c r="H133" s="1"/>
  <c r="K75"/>
  <c r="G75" s="1"/>
  <c r="H75" s="1"/>
  <c r="K101"/>
  <c r="G101" s="1"/>
  <c r="H101" s="1"/>
  <c r="K43"/>
  <c r="G43" s="1"/>
  <c r="H43" s="1"/>
  <c r="K139"/>
  <c r="G139" s="1"/>
  <c r="H139" s="1"/>
  <c r="K110"/>
  <c r="G110" s="1"/>
  <c r="H110" s="1"/>
  <c r="K122"/>
  <c r="G122" s="1"/>
  <c r="H122" s="1"/>
  <c r="K94"/>
  <c r="G94" s="1"/>
  <c r="H94" s="1"/>
  <c r="J90" i="5"/>
  <c r="J11" i="3"/>
  <c r="K123"/>
  <c r="G123" s="1"/>
  <c r="H123" s="1"/>
  <c r="K128"/>
  <c r="G128" s="1"/>
  <c r="H128" s="1"/>
  <c r="K120"/>
  <c r="G120" s="1"/>
  <c r="H120" s="1"/>
  <c r="K130"/>
  <c r="G130" s="1"/>
  <c r="H130" s="1"/>
  <c r="K172"/>
  <c r="G172" s="1"/>
  <c r="H172" s="1"/>
  <c r="K97"/>
  <c r="G97" s="1"/>
  <c r="H97" s="1"/>
  <c r="K104"/>
  <c r="G104" s="1"/>
  <c r="H104" s="1"/>
  <c r="K106"/>
  <c r="G106" s="1"/>
  <c r="H106" s="1"/>
  <c r="K118"/>
  <c r="G118" s="1"/>
  <c r="H118" s="1"/>
  <c r="K171"/>
  <c r="G171" s="1"/>
  <c r="H171" s="1"/>
  <c r="K92"/>
  <c r="G92" s="1"/>
  <c r="H92" s="1"/>
  <c r="K79"/>
  <c r="G79" s="1"/>
  <c r="H79" s="1"/>
  <c r="K72"/>
  <c r="G72" s="1"/>
  <c r="H72" s="1"/>
  <c r="K95"/>
  <c r="G95" s="1"/>
  <c r="H95" s="1"/>
  <c r="K86"/>
  <c r="G86" s="1"/>
  <c r="H86" s="1"/>
  <c r="K103"/>
  <c r="G103" s="1"/>
  <c r="H103" s="1"/>
  <c r="K138"/>
  <c r="G138" s="1"/>
  <c r="H138" s="1"/>
  <c r="K115"/>
  <c r="G115" s="1"/>
  <c r="H115" s="1"/>
  <c r="K102"/>
  <c r="G102" s="1"/>
  <c r="H102" s="1"/>
  <c r="K83"/>
  <c r="G83" s="1"/>
  <c r="H83" s="1"/>
  <c r="K124"/>
  <c r="G124" s="1"/>
  <c r="H124" s="1"/>
  <c r="K111"/>
  <c r="G111" s="1"/>
  <c r="H111" s="1"/>
  <c r="K96"/>
  <c r="G96" s="1"/>
  <c r="H96" s="1"/>
  <c r="K74"/>
  <c r="G74" s="1"/>
  <c r="H74" s="1"/>
  <c r="K112"/>
  <c r="G112" s="1"/>
  <c r="H112" s="1"/>
  <c r="K153"/>
  <c r="G153" s="1"/>
  <c r="H153" s="1"/>
  <c r="K121"/>
  <c r="G121" s="1"/>
  <c r="H121" s="1"/>
  <c r="K48"/>
  <c r="G48" s="1"/>
  <c r="H48" s="1"/>
  <c r="K117"/>
  <c r="G117" s="1"/>
  <c r="H117" s="1"/>
  <c r="K68"/>
  <c r="G68" s="1"/>
  <c r="H68" s="1"/>
  <c r="K119"/>
  <c r="G119" s="1"/>
  <c r="H119" s="1"/>
  <c r="K137"/>
  <c r="G137" s="1"/>
  <c r="H137" s="1"/>
  <c r="K105"/>
  <c r="G105" s="1"/>
  <c r="H105" s="1"/>
  <c r="K127"/>
  <c r="G127" s="1"/>
  <c r="H127" s="1"/>
  <c r="K67"/>
  <c r="G67" s="1"/>
  <c r="H67" s="1"/>
  <c r="K73"/>
  <c r="G73" s="1"/>
  <c r="H73" s="1"/>
  <c r="K134"/>
  <c r="G134" s="1"/>
  <c r="H134" s="1"/>
  <c r="K39"/>
  <c r="G39" s="1"/>
  <c r="G35" s="1"/>
  <c r="K93"/>
  <c r="G93" s="1"/>
  <c r="H93" s="1"/>
  <c r="K65"/>
  <c r="G65" s="1"/>
  <c r="H65" s="1"/>
  <c r="K76"/>
  <c r="G76" s="1"/>
  <c r="H76" s="1"/>
  <c r="K132"/>
  <c r="G132" s="1"/>
  <c r="H132" s="1"/>
  <c r="K78"/>
  <c r="G78" s="1"/>
  <c r="H78" s="1"/>
  <c r="K109"/>
  <c r="G109" s="1"/>
  <c r="H109" s="1"/>
  <c r="K136"/>
  <c r="G136" s="1"/>
  <c r="H136" s="1"/>
  <c r="K151"/>
  <c r="G151" s="1"/>
  <c r="H151" s="1"/>
  <c r="K84"/>
  <c r="G84" s="1"/>
  <c r="H84" s="1"/>
  <c r="K70"/>
  <c r="G70" s="1"/>
  <c r="H70" s="1"/>
  <c r="K114"/>
  <c r="G114" s="1"/>
  <c r="H114" s="1"/>
  <c r="K64"/>
  <c r="G64" s="1"/>
  <c r="H64" s="1"/>
  <c r="K91"/>
  <c r="G91" s="1"/>
  <c r="H91" s="1"/>
  <c r="K157"/>
  <c r="G157" s="1"/>
  <c r="H157" s="1"/>
  <c r="K100"/>
  <c r="G100" s="1"/>
  <c r="H100" s="1"/>
  <c r="K89"/>
  <c r="G89" s="1"/>
  <c r="H89" s="1"/>
  <c r="J89" i="5"/>
  <c r="K116" i="3"/>
  <c r="G116" s="1"/>
  <c r="H116" s="1"/>
  <c r="K98"/>
  <c r="G98" s="1"/>
  <c r="H98" s="1"/>
  <c r="K108"/>
  <c r="G108" s="1"/>
  <c r="H108" s="1"/>
  <c r="K69"/>
  <c r="G69" s="1"/>
  <c r="H69" s="1"/>
  <c r="K88"/>
  <c r="G88" s="1"/>
  <c r="H88" s="1"/>
  <c r="K160"/>
  <c r="G160" s="1"/>
  <c r="H160" s="1"/>
  <c r="K113"/>
  <c r="G113" s="1"/>
  <c r="H113" s="1"/>
  <c r="K82"/>
  <c r="G82" s="1"/>
  <c r="H82" s="1"/>
  <c r="K87"/>
  <c r="G87" s="1"/>
  <c r="H87" s="1"/>
  <c r="G18" i="5"/>
  <c r="G14" s="1"/>
  <c r="K4" i="22" s="1"/>
  <c r="K6" s="1"/>
  <c r="J88" i="5"/>
  <c r="K131" i="3"/>
  <c r="G131" s="1"/>
  <c r="I11"/>
  <c r="L19" i="22" l="1"/>
  <c r="L21"/>
  <c r="L8"/>
  <c r="L18"/>
  <c r="L11"/>
  <c r="L9"/>
  <c r="L29"/>
  <c r="L31"/>
  <c r="L20"/>
  <c r="L30"/>
  <c r="L14"/>
  <c r="L26"/>
  <c r="L16"/>
  <c r="L15"/>
  <c r="L23"/>
  <c r="L27"/>
  <c r="L24"/>
  <c r="L13"/>
  <c r="L28"/>
  <c r="L17"/>
  <c r="L10"/>
  <c r="L32"/>
  <c r="L25"/>
  <c r="L12"/>
  <c r="L22"/>
  <c r="L7"/>
  <c r="K33" i="3"/>
  <c r="O34" s="1"/>
  <c r="M33" s="1"/>
  <c r="G37"/>
  <c r="H39"/>
  <c r="H24" i="5"/>
  <c r="I4" i="3"/>
  <c r="I5"/>
  <c r="J4"/>
  <c r="J5"/>
  <c r="D18" i="5"/>
  <c r="G13" s="1"/>
  <c r="I6" i="3"/>
  <c r="I7"/>
  <c r="J6"/>
  <c r="J7"/>
  <c r="H131"/>
  <c r="K11" i="22"/>
  <c r="K14"/>
  <c r="K21"/>
  <c r="K32"/>
  <c r="K12"/>
  <c r="K19"/>
  <c r="K22"/>
  <c r="K29"/>
  <c r="K9"/>
  <c r="K20"/>
  <c r="K27"/>
  <c r="K30"/>
  <c r="K10"/>
  <c r="K17"/>
  <c r="K28"/>
  <c r="K8"/>
  <c r="K15"/>
  <c r="K18"/>
  <c r="K25"/>
  <c r="K7"/>
  <c r="K16"/>
  <c r="K23"/>
  <c r="K26"/>
  <c r="K13"/>
  <c r="K24"/>
  <c r="K31"/>
  <c r="H37" i="3" l="1"/>
  <c r="L23" i="6" s="1"/>
  <c r="J32" i="5"/>
  <c r="J33" s="1"/>
  <c r="N33" i="3"/>
  <c r="J4" i="22"/>
  <c r="J6" s="1"/>
  <c r="H108" i="5"/>
  <c r="K15" s="1"/>
  <c r="J13"/>
  <c r="I19" i="3"/>
  <c r="I17" s="1"/>
  <c r="N3"/>
  <c r="N4"/>
  <c r="B12" i="5"/>
  <c r="G11"/>
  <c r="J24" i="22" l="1"/>
  <c r="J32"/>
  <c r="J22"/>
  <c r="J26"/>
  <c r="J28"/>
  <c r="J18"/>
  <c r="J21"/>
  <c r="J23"/>
  <c r="J25"/>
  <c r="J30"/>
  <c r="J14"/>
  <c r="J19"/>
  <c r="J7"/>
  <c r="J8"/>
  <c r="J9"/>
  <c r="J10"/>
  <c r="J11"/>
  <c r="J12"/>
  <c r="J20"/>
  <c r="J27"/>
  <c r="J29"/>
  <c r="J31"/>
  <c r="J13"/>
  <c r="J16"/>
  <c r="J15"/>
  <c r="J17"/>
  <c r="L19" i="3"/>
  <c r="M17" s="1"/>
  <c r="N17" s="1"/>
  <c r="J17"/>
  <c r="G9" i="5"/>
  <c r="J9" l="1"/>
  <c r="M4" i="22" s="1"/>
  <c r="M27" s="1"/>
  <c r="B1" i="4"/>
  <c r="B2" s="1"/>
  <c r="G10" i="5" s="1"/>
  <c r="M20" i="22" l="1"/>
  <c r="M28"/>
  <c r="M9"/>
  <c r="M13"/>
  <c r="M21"/>
  <c r="M15"/>
  <c r="M6"/>
  <c r="M25"/>
  <c r="M29"/>
  <c r="M8"/>
  <c r="M7"/>
  <c r="M18"/>
  <c r="M26"/>
  <c r="M14"/>
  <c r="G12" i="5"/>
  <c r="I4" i="22" s="1"/>
  <c r="I6" s="1"/>
  <c r="M30"/>
  <c r="M22"/>
  <c r="M11"/>
  <c r="M24"/>
  <c r="M19"/>
  <c r="M12"/>
  <c r="M23"/>
  <c r="M10"/>
  <c r="M31"/>
  <c r="M17"/>
  <c r="M16"/>
  <c r="M32"/>
  <c r="I15" l="1"/>
  <c r="I12"/>
  <c r="I13"/>
  <c r="I28"/>
  <c r="I10"/>
  <c r="I30"/>
  <c r="I20"/>
  <c r="I7"/>
  <c r="I23"/>
  <c r="I26"/>
  <c r="I29"/>
  <c r="I9"/>
  <c r="I16"/>
  <c r="I24"/>
  <c r="I32"/>
  <c r="I11"/>
  <c r="I19"/>
  <c r="I27"/>
  <c r="I18"/>
  <c r="I31"/>
  <c r="I21"/>
  <c r="I14"/>
  <c r="I22"/>
  <c r="I8"/>
  <c r="I17"/>
  <c r="I25"/>
  <c r="Y25" i="6"/>
  <c r="Z25"/>
  <c r="X25"/>
  <c r="W25" l="1"/>
  <c r="U27"/>
  <c r="U28" s="1"/>
  <c r="Z26"/>
  <c r="X26"/>
  <c r="Y26"/>
  <c r="W26" l="1"/>
  <c r="V25"/>
  <c r="V26"/>
  <c r="Y27"/>
  <c r="X27"/>
  <c r="U29"/>
  <c r="U30" s="1"/>
  <c r="X28"/>
  <c r="Y28"/>
  <c r="Z27"/>
  <c r="V28" l="1"/>
  <c r="W28"/>
  <c r="W27"/>
  <c r="V27"/>
  <c r="U31"/>
  <c r="Z28"/>
  <c r="X29" l="1"/>
  <c r="Y29"/>
  <c r="Z29"/>
  <c r="V29" l="1"/>
  <c r="W29"/>
  <c r="Z30"/>
  <c r="X30"/>
  <c r="Y30"/>
  <c r="X31"/>
  <c r="Y31"/>
  <c r="Z31"/>
  <c r="V30" l="1"/>
  <c r="V31"/>
  <c r="W31"/>
  <c r="Z21"/>
  <c r="X21"/>
  <c r="Y21"/>
  <c r="V21" l="1"/>
  <c r="W30"/>
  <c r="W21" s="1"/>
  <c r="U21" l="1"/>
  <c r="K9" i="19" s="1"/>
  <c r="U24" i="6"/>
  <c r="F9" i="19" s="1"/>
  <c r="E24" i="5" l="1"/>
  <c r="F24"/>
  <c r="I2" l="1"/>
  <c r="J2" s="1"/>
  <c r="J3" s="1"/>
  <c r="G17"/>
  <c r="A6" l="1"/>
  <c r="C4" i="22"/>
  <c r="C17" s="1"/>
  <c r="I3" i="5"/>
  <c r="C28" i="22" l="1"/>
  <c r="C10"/>
  <c r="C7"/>
  <c r="C30"/>
  <c r="C32"/>
  <c r="C14"/>
  <c r="C11"/>
  <c r="C31"/>
  <c r="C8"/>
  <c r="C16"/>
  <c r="C6"/>
  <c r="C15"/>
  <c r="C18"/>
  <c r="C21"/>
  <c r="C26"/>
  <c r="C27"/>
  <c r="C13"/>
  <c r="C22"/>
  <c r="C20"/>
  <c r="C23"/>
  <c r="C25"/>
  <c r="C12"/>
  <c r="C19"/>
  <c r="C29"/>
  <c r="C9"/>
  <c r="C24"/>
  <c r="F8" i="17"/>
  <c r="F6"/>
  <c r="F7"/>
  <c r="J7"/>
  <c r="N9"/>
  <c r="N10"/>
  <c r="R11"/>
  <c r="F13"/>
  <c r="N13"/>
  <c r="J15"/>
  <c r="U8"/>
  <c r="U12"/>
  <c r="U24"/>
  <c r="M6"/>
  <c r="Q6"/>
  <c r="M8"/>
  <c r="Q8"/>
  <c r="F16"/>
  <c r="F14"/>
  <c r="R8"/>
  <c r="N6"/>
  <c r="L6"/>
  <c r="P6"/>
  <c r="L7"/>
  <c r="P7"/>
  <c r="L8"/>
  <c r="P8"/>
  <c r="L9"/>
  <c r="P9"/>
  <c r="L10"/>
  <c r="P10"/>
  <c r="L11"/>
  <c r="U19"/>
  <c r="U15"/>
  <c r="Q9"/>
  <c r="M7"/>
  <c r="U10"/>
  <c r="U14"/>
  <c r="U26"/>
  <c r="O6"/>
  <c r="S6"/>
  <c r="O7"/>
  <c r="S7"/>
  <c r="O8"/>
  <c r="S8"/>
  <c r="O9"/>
  <c r="S9"/>
  <c r="O10"/>
  <c r="S10"/>
  <c r="O11"/>
  <c r="S11"/>
  <c r="O12"/>
  <c r="S12"/>
  <c r="O13"/>
  <c r="S13"/>
  <c r="O14"/>
  <c r="S14"/>
  <c r="O15"/>
  <c r="S15"/>
  <c r="O16"/>
  <c r="S16"/>
  <c r="O17"/>
  <c r="S17"/>
  <c r="O18"/>
  <c r="S18"/>
  <c r="O19"/>
  <c r="S19"/>
  <c r="O20"/>
  <c r="S20"/>
  <c r="O21"/>
  <c r="S21"/>
  <c r="O22"/>
  <c r="S22"/>
  <c r="O23"/>
  <c r="S23"/>
  <c r="O24"/>
  <c r="S24"/>
  <c r="O25"/>
  <c r="S25"/>
  <c r="O26"/>
  <c r="S26"/>
  <c r="D17"/>
  <c r="D21"/>
  <c r="R7"/>
  <c r="N8"/>
  <c r="R9"/>
  <c r="J10"/>
  <c r="N11"/>
  <c r="F12"/>
  <c r="J13"/>
  <c r="R13"/>
  <c r="F15"/>
  <c r="N15"/>
  <c r="R16"/>
  <c r="D8"/>
  <c r="M12"/>
  <c r="E13"/>
  <c r="M14"/>
  <c r="E15"/>
  <c r="F18"/>
  <c r="F19"/>
  <c r="Q21"/>
  <c r="Q22"/>
  <c r="L25"/>
  <c r="F26"/>
  <c r="D14"/>
  <c r="T11"/>
  <c r="L12"/>
  <c r="T13"/>
  <c r="L14"/>
  <c r="T15"/>
  <c r="L16"/>
  <c r="P17"/>
  <c r="E18"/>
  <c r="E19"/>
  <c r="J19"/>
  <c r="J20"/>
  <c r="P20"/>
  <c r="P21"/>
  <c r="E22"/>
  <c r="E23"/>
  <c r="J23"/>
  <c r="J24"/>
  <c r="P24"/>
  <c r="P25"/>
  <c r="E26"/>
  <c r="D12"/>
  <c r="D18"/>
  <c r="E10"/>
  <c r="E11"/>
  <c r="Q12"/>
  <c r="I13"/>
  <c r="Q14"/>
  <c r="I15"/>
  <c r="Q16"/>
  <c r="I17"/>
  <c r="I18"/>
  <c r="N18"/>
  <c r="N19"/>
  <c r="T19"/>
  <c r="N7"/>
  <c r="U16"/>
  <c r="E6"/>
  <c r="E8"/>
  <c r="I9"/>
  <c r="N16"/>
  <c r="R14"/>
  <c r="N12"/>
  <c r="F10"/>
  <c r="R6"/>
  <c r="J6"/>
  <c r="U11"/>
  <c r="T6"/>
  <c r="T7"/>
  <c r="T8"/>
  <c r="T9"/>
  <c r="T10"/>
  <c r="U23"/>
  <c r="U7"/>
  <c r="E7"/>
  <c r="U18"/>
  <c r="G6"/>
  <c r="G7"/>
  <c r="G8"/>
  <c r="G9"/>
  <c r="G10"/>
  <c r="G11"/>
  <c r="G12"/>
  <c r="G13"/>
  <c r="G14"/>
  <c r="G15"/>
  <c r="G16"/>
  <c r="G17"/>
  <c r="G18"/>
  <c r="G19"/>
  <c r="G20"/>
  <c r="G21"/>
  <c r="G22"/>
  <c r="G23"/>
  <c r="G24"/>
  <c r="G25"/>
  <c r="G26"/>
  <c r="D9"/>
  <c r="D25"/>
  <c r="F9"/>
  <c r="R10"/>
  <c r="J12"/>
  <c r="J14"/>
  <c r="R15"/>
  <c r="M11"/>
  <c r="M13"/>
  <c r="E16"/>
  <c r="Q19"/>
  <c r="Q23"/>
  <c r="I10"/>
  <c r="T12"/>
  <c r="T14"/>
  <c r="T16"/>
  <c r="J18"/>
  <c r="P19"/>
  <c r="E21"/>
  <c r="J22"/>
  <c r="P23"/>
  <c r="E25"/>
  <c r="J26"/>
  <c r="D23"/>
  <c r="Q11"/>
  <c r="Q13"/>
  <c r="Q15"/>
  <c r="N17"/>
  <c r="T18"/>
  <c r="I20"/>
  <c r="J8"/>
  <c r="F11"/>
  <c r="F17"/>
  <c r="U20"/>
  <c r="I6"/>
  <c r="I8"/>
  <c r="H6"/>
  <c r="H7"/>
  <c r="H8"/>
  <c r="H9"/>
  <c r="H10"/>
  <c r="H11"/>
  <c r="U25"/>
  <c r="U21"/>
  <c r="U17"/>
  <c r="U13"/>
  <c r="U9"/>
  <c r="M9"/>
  <c r="E9"/>
  <c r="Q7"/>
  <c r="I7"/>
  <c r="U6"/>
  <c r="U22"/>
  <c r="K6"/>
  <c r="K7"/>
  <c r="K8"/>
  <c r="K9"/>
  <c r="K10"/>
  <c r="K11"/>
  <c r="K12"/>
  <c r="K13"/>
  <c r="K14"/>
  <c r="K15"/>
  <c r="K16"/>
  <c r="K17"/>
  <c r="K18"/>
  <c r="K19"/>
  <c r="K20"/>
  <c r="K21"/>
  <c r="K22"/>
  <c r="K23"/>
  <c r="K24"/>
  <c r="K25"/>
  <c r="K26"/>
  <c r="D13"/>
  <c r="J9"/>
  <c r="J11"/>
  <c r="R12"/>
  <c r="N14"/>
  <c r="J16"/>
  <c r="E12"/>
  <c r="E14"/>
  <c r="E17"/>
  <c r="Q20"/>
  <c r="L24"/>
  <c r="I11"/>
  <c r="L13"/>
  <c r="L15"/>
  <c r="J17"/>
  <c r="P18"/>
  <c r="E20"/>
  <c r="J21"/>
  <c r="P22"/>
  <c r="E24"/>
  <c r="J25"/>
  <c r="P26"/>
  <c r="D7"/>
  <c r="I12"/>
  <c r="I14"/>
  <c r="I16"/>
  <c r="T17"/>
  <c r="I19"/>
  <c r="N20"/>
  <c r="I21"/>
  <c r="T21"/>
  <c r="I22"/>
  <c r="T22"/>
  <c r="N23"/>
  <c r="T23"/>
  <c r="T24"/>
  <c r="I25"/>
  <c r="I26"/>
  <c r="N26"/>
  <c r="D22"/>
  <c r="Q10"/>
  <c r="P12"/>
  <c r="H13"/>
  <c r="P14"/>
  <c r="H15"/>
  <c r="P16"/>
  <c r="H17"/>
  <c r="H18"/>
  <c r="M18"/>
  <c r="M19"/>
  <c r="R19"/>
  <c r="R20"/>
  <c r="H21"/>
  <c r="H22"/>
  <c r="M22"/>
  <c r="M23"/>
  <c r="R23"/>
  <c r="R24"/>
  <c r="H25"/>
  <c r="H26"/>
  <c r="M26"/>
  <c r="D20"/>
  <c r="D26"/>
  <c r="M15"/>
  <c r="M16"/>
  <c r="L18"/>
  <c r="Q18"/>
  <c r="L20"/>
  <c r="F21"/>
  <c r="L22"/>
  <c r="F23"/>
  <c r="Q24"/>
  <c r="F25"/>
  <c r="Q26"/>
  <c r="T20"/>
  <c r="N21"/>
  <c r="I24"/>
  <c r="N25"/>
  <c r="T26"/>
  <c r="D11"/>
  <c r="P11"/>
  <c r="P13"/>
  <c r="P15"/>
  <c r="M17"/>
  <c r="R18"/>
  <c r="H20"/>
  <c r="M21"/>
  <c r="R22"/>
  <c r="H24"/>
  <c r="M25"/>
  <c r="R26"/>
  <c r="D10"/>
  <c r="L17"/>
  <c r="L19"/>
  <c r="L21"/>
  <c r="L23"/>
  <c r="Q25"/>
  <c r="D19"/>
  <c r="D6"/>
  <c r="N22"/>
  <c r="I23"/>
  <c r="N24"/>
  <c r="T25"/>
  <c r="D16"/>
  <c r="H12"/>
  <c r="H14"/>
  <c r="H16"/>
  <c r="R17"/>
  <c r="H19"/>
  <c r="M20"/>
  <c r="R21"/>
  <c r="H23"/>
  <c r="M24"/>
  <c r="R25"/>
  <c r="D15"/>
  <c r="M10"/>
  <c r="Q17"/>
  <c r="F20"/>
  <c r="F22"/>
  <c r="F24"/>
  <c r="L26"/>
  <c r="D24"/>
  <c r="C2" i="22" l="1"/>
  <c r="H2" s="1"/>
  <c r="I30" i="17"/>
  <c r="S30"/>
  <c r="O32"/>
  <c r="O28"/>
  <c r="O29"/>
  <c r="O30"/>
  <c r="G32"/>
  <c r="O31"/>
  <c r="K29"/>
  <c r="U32"/>
  <c r="S31"/>
  <c r="S29"/>
  <c r="T32"/>
  <c r="G28"/>
  <c r="S28"/>
  <c r="F32"/>
  <c r="M31"/>
  <c r="H31"/>
  <c r="R28"/>
  <c r="D28"/>
  <c r="S32"/>
  <c r="Q32"/>
  <c r="L28"/>
  <c r="P28"/>
  <c r="C4"/>
  <c r="I29"/>
  <c r="N30"/>
  <c r="J30"/>
  <c r="Q31"/>
  <c r="T31"/>
  <c r="I28"/>
  <c r="F29"/>
  <c r="T28"/>
  <c r="E29"/>
  <c r="K31"/>
  <c r="G30"/>
  <c r="E31"/>
  <c r="T30"/>
  <c r="N28"/>
  <c r="K30"/>
  <c r="E28"/>
  <c r="Q28"/>
  <c r="H32"/>
  <c r="I31"/>
  <c r="J31"/>
  <c r="L29"/>
  <c r="J28"/>
  <c r="F31"/>
  <c r="F28"/>
  <c r="M29"/>
  <c r="R29"/>
  <c r="N31"/>
  <c r="R30"/>
  <c r="N29"/>
  <c r="R32"/>
  <c r="L31"/>
  <c r="H28"/>
  <c r="I32"/>
  <c r="D32"/>
  <c r="H29"/>
  <c r="N32"/>
  <c r="T29"/>
  <c r="P31"/>
  <c r="K32"/>
  <c r="K28"/>
  <c r="E30"/>
  <c r="G31"/>
  <c r="M32"/>
  <c r="M28"/>
  <c r="E32"/>
  <c r="P30"/>
  <c r="J29"/>
  <c r="Q29"/>
  <c r="U29"/>
  <c r="M30"/>
  <c r="F30"/>
  <c r="R31"/>
  <c r="L30"/>
  <c r="H30"/>
  <c r="D29"/>
  <c r="L32"/>
  <c r="D30"/>
  <c r="P32"/>
  <c r="G29"/>
  <c r="J32"/>
  <c r="P29"/>
  <c r="D31"/>
  <c r="Q30"/>
  <c r="U31"/>
  <c r="U30"/>
  <c r="U28"/>
  <c r="E29" i="5" l="1"/>
</calcChain>
</file>

<file path=xl/comments1.xml><?xml version="1.0" encoding="utf-8"?>
<comments xmlns="http://schemas.openxmlformats.org/spreadsheetml/2006/main">
  <authors>
    <author>Конст</author>
  </authors>
  <commentList>
    <comment ref="A3" authorId="0">
      <text>
        <r>
          <rPr>
            <b/>
            <sz val="8"/>
            <color indexed="81"/>
            <rFont val="Tahoma"/>
            <family val="2"/>
            <charset val="204"/>
          </rPr>
          <t>Подсказка:</t>
        </r>
        <r>
          <rPr>
            <sz val="8"/>
            <color indexed="81"/>
            <rFont val="Tahoma"/>
            <family val="2"/>
            <charset val="204"/>
          </rPr>
          <t xml:space="preserve">
Введите с клавиатуры нужный Вам тираж и нажмите Enter</t>
        </r>
      </text>
    </comment>
    <comment ref="B3" authorId="0">
      <text>
        <r>
          <rPr>
            <b/>
            <sz val="8"/>
            <color indexed="81"/>
            <rFont val="Tahoma"/>
            <family val="2"/>
            <charset val="204"/>
          </rPr>
          <t>Подсказка:</t>
        </r>
        <r>
          <rPr>
            <sz val="8"/>
            <color indexed="81"/>
            <rFont val="Tahoma"/>
            <family val="2"/>
            <charset val="204"/>
          </rPr>
          <t xml:space="preserve">
Введите количество макетов лицевой стороны. Обратная сторона не является предметом счёта</t>
        </r>
      </text>
    </comment>
    <comment ref="C3" authorId="0">
      <text>
        <r>
          <rPr>
            <b/>
            <sz val="8"/>
            <color indexed="81"/>
            <rFont val="Tahoma"/>
            <family val="2"/>
            <charset val="204"/>
          </rPr>
          <t xml:space="preserve">Подсказка:
</t>
        </r>
        <r>
          <rPr>
            <sz val="8"/>
            <color indexed="81"/>
            <rFont val="Tahoma"/>
            <family val="2"/>
            <charset val="204"/>
          </rPr>
          <t xml:space="preserve">Справа от ячейки выберите клавишу вниз, из раскрывшегося списка выберите цветность печати. Помните если у Вас на макете есть хоть одна цветная точка - считать следует как цветную печать. </t>
        </r>
      </text>
    </comment>
    <comment ref="F3" authorId="0">
      <text>
        <r>
          <rPr>
            <b/>
            <sz val="8"/>
            <color indexed="81"/>
            <rFont val="Tahoma"/>
            <family val="2"/>
            <charset val="204"/>
          </rPr>
          <t>Подсказка:</t>
        </r>
        <r>
          <rPr>
            <sz val="8"/>
            <color indexed="81"/>
            <rFont val="Tahoma"/>
            <family val="2"/>
            <charset val="204"/>
          </rPr>
          <t xml:space="preserve">
Введите номер бумаги или картона, для расчета, слева Вы увидите детали выбранной бумаги, справа приведён список бумаг из нашей коллекции.</t>
        </r>
      </text>
    </comment>
    <comment ref="P3" authorId="0">
      <text>
        <r>
          <rPr>
            <b/>
            <sz val="8"/>
            <color indexed="81"/>
            <rFont val="Tahoma"/>
            <family val="2"/>
            <charset val="204"/>
          </rPr>
          <t>Конст:</t>
        </r>
        <r>
          <rPr>
            <sz val="8"/>
            <color indexed="81"/>
            <rFont val="Tahoma"/>
            <family val="2"/>
            <charset val="204"/>
          </rPr>
          <t xml:space="preserve">
Уважаемые клиенты! Цвет - самое относительое понятие. Здесь указаны официальные названия. Мы нен несём никакой ответственности за несовпадение понятий о цвете у Вас и у Мировых Производителей бумажной продукции. </t>
        </r>
      </text>
    </comment>
    <comment ref="Q3" authorId="0">
      <text>
        <r>
          <rPr>
            <b/>
            <sz val="8"/>
            <color indexed="81"/>
            <rFont val="Tahoma"/>
            <family val="2"/>
            <charset val="204"/>
          </rPr>
          <t>Конст:</t>
        </r>
        <r>
          <rPr>
            <sz val="8"/>
            <color indexed="81"/>
            <rFont val="Tahoma"/>
            <family val="2"/>
            <charset val="204"/>
          </rPr>
          <t xml:space="preserve">
Плотность - основная харктеристика бумаги определяющая её применение.
80-100 гр. - Стандарты офисной бумаги, применяемой в стандартных принтерах.
130-170 гр. - Стандарт для рекламных листовок. Более плотная по сравнению с офисной. Эта бумага уже встречается и в дизайнерских решениях. Дольший срок службы. Иногда используют для печати договоров. Применения: Гарантийные талоны, Бланки, Спецификации, Меню и многое другое...
250-305 гр. - Страндарт визиточного картона (не путать с гофрокартоном). Применение: визитки, открытки, грамоты, обложки, эксклюзивные варианты представительской продукции. И многое другое.</t>
        </r>
      </text>
    </comment>
    <comment ref="A5" authorId="0">
      <text>
        <r>
          <rPr>
            <b/>
            <sz val="8"/>
            <color indexed="81"/>
            <rFont val="Tahoma"/>
            <family val="2"/>
            <charset val="204"/>
          </rPr>
          <t xml:space="preserve">Подсказка:
</t>
        </r>
        <r>
          <rPr>
            <sz val="8"/>
            <color indexed="81"/>
            <rFont val="Tahoma"/>
            <family val="2"/>
            <charset val="204"/>
          </rPr>
          <t>Справа от ячейки выберите клавишу вниз, из раскрывшегося списка выберите нужный Вам размер печати. Если размера, который Вам нужен нет в списке, выберите максимально близкий размер по размерам больше Вашего (и по длине и по ширине). Точность и цена расчета зависят от привильного выбора данного параметра. Вы можете внести изменения в Ваш макет для оптимальной для Вас цены печати.</t>
        </r>
      </text>
    </comment>
    <comment ref="C5" authorId="0">
      <text>
        <r>
          <rPr>
            <b/>
            <sz val="8"/>
            <color indexed="81"/>
            <rFont val="Tahoma"/>
            <family val="2"/>
            <charset val="204"/>
          </rPr>
          <t xml:space="preserve">Подсказка:
</t>
        </r>
        <r>
          <rPr>
            <sz val="8"/>
            <color indexed="81"/>
            <rFont val="Tahoma"/>
            <family val="2"/>
            <charset val="204"/>
          </rPr>
          <t>Справа от ячейки выберите клавишу вниз, из раскрывшегося списка выберите цветность печати. Помните если у Вас на макете есть хоть одна цветная точка - считать следует как цветную печать. Если Вы хотите одностороннюю печать, выберите пункт "НЕТ"</t>
        </r>
      </text>
    </comment>
    <comment ref="E5" authorId="0">
      <text>
        <r>
          <rPr>
            <b/>
            <sz val="8"/>
            <color indexed="81"/>
            <rFont val="Tahoma"/>
            <family val="2"/>
            <charset val="204"/>
          </rPr>
          <t>Подсказка:</t>
        </r>
        <r>
          <rPr>
            <sz val="8"/>
            <color indexed="81"/>
            <rFont val="Tahoma"/>
            <family val="2"/>
            <charset val="204"/>
          </rPr>
          <t xml:space="preserve">
Любой принтер производит печать с полями. Что весьма неэстетично. Обычно мы производим обрезку полей после печати, что уменьшает размер листа. Поэтому мы пользуемся неформатными листами, чтобы получать нужный размер после обрезки, но часто обрезка не нужна или клиент может от неё отказаться, это снижает себестоимость на большинстве форматов и влияет на цену.</t>
        </r>
      </text>
    </comment>
    <comment ref="F5" authorId="0">
      <text>
        <r>
          <rPr>
            <b/>
            <sz val="8"/>
            <color indexed="81"/>
            <rFont val="Tahoma"/>
            <family val="2"/>
            <charset val="204"/>
          </rPr>
          <t>Подсказка:</t>
        </r>
        <r>
          <rPr>
            <sz val="8"/>
            <color indexed="81"/>
            <rFont val="Tahoma"/>
            <family val="2"/>
            <charset val="204"/>
          </rPr>
          <t xml:space="preserve">
Любой принтер производит печать с полями. Что весьма неэстетично. Обычно мы производим обрезку полей после печати, что уменьшает размер листа. Поэтому мы пользуемся неформатными листами, чтобы получать нужный размер после обрезки, но часто обрезка не нужна или клиент может от неё отказаться, это снижает себестоимость на большинстве форматов и влияет на цену.</t>
        </r>
      </text>
    </comment>
    <comment ref="H5" authorId="0">
      <text>
        <r>
          <rPr>
            <b/>
            <sz val="8"/>
            <color indexed="81"/>
            <rFont val="Tahoma"/>
            <family val="2"/>
            <charset val="204"/>
          </rPr>
          <t xml:space="preserve">Подсказка:
</t>
        </r>
        <r>
          <rPr>
            <sz val="8"/>
            <color indexed="81"/>
            <rFont val="Tahoma"/>
            <family val="2"/>
            <charset val="204"/>
          </rPr>
          <t>Ориентировочная цена</t>
        </r>
      </text>
    </comment>
    <comment ref="A9" authorId="0">
      <text>
        <r>
          <rPr>
            <b/>
            <sz val="8"/>
            <color indexed="81"/>
            <rFont val="Tahoma"/>
            <family val="2"/>
            <charset val="204"/>
          </rPr>
          <t xml:space="preserve">Подсказка:
</t>
        </r>
        <r>
          <rPr>
            <sz val="8"/>
            <color indexed="81"/>
            <rFont val="Tahoma"/>
            <family val="2"/>
            <charset val="204"/>
          </rPr>
          <t>Название и прочие характеристики бумаги. Которую Вы выбрали, необходима для проверки Вашего выбора.</t>
        </r>
      </text>
    </comment>
    <comment ref="J9" authorId="0">
      <text>
        <r>
          <rPr>
            <b/>
            <sz val="8"/>
            <color indexed="81"/>
            <rFont val="Tahoma"/>
            <family val="2"/>
            <charset val="204"/>
          </rPr>
          <t>Конст:</t>
        </r>
        <r>
          <rPr>
            <sz val="8"/>
            <color indexed="81"/>
            <rFont val="Tahoma"/>
            <family val="2"/>
            <charset val="204"/>
          </rPr>
          <t xml:space="preserve">
Если ошибка нужно добавить цвет в печать</t>
        </r>
      </text>
    </comment>
    <comment ref="D19" authorId="0">
      <text>
        <r>
          <rPr>
            <b/>
            <sz val="8"/>
            <color indexed="81"/>
            <rFont val="Tahoma"/>
            <family val="2"/>
            <charset val="204"/>
          </rPr>
          <t>Конст:</t>
        </r>
        <r>
          <rPr>
            <sz val="8"/>
            <color indexed="81"/>
            <rFont val="Tahoma"/>
            <family val="2"/>
            <charset val="204"/>
          </rPr>
          <t xml:space="preserve">
выбрать количество линий сгиба</t>
        </r>
      </text>
    </comment>
    <comment ref="G19" authorId="0">
      <text>
        <r>
          <rPr>
            <b/>
            <sz val="8"/>
            <color indexed="81"/>
            <rFont val="Tahoma"/>
            <family val="2"/>
            <charset val="204"/>
          </rPr>
          <t>Конст:</t>
        </r>
        <r>
          <rPr>
            <sz val="8"/>
            <color indexed="81"/>
            <rFont val="Tahoma"/>
            <family val="2"/>
            <charset val="204"/>
          </rPr>
          <t xml:space="preserve">
Укажите количество линий перфорации</t>
        </r>
      </text>
    </comment>
    <comment ref="I19" authorId="0">
      <text>
        <r>
          <rPr>
            <b/>
            <sz val="8"/>
            <color indexed="81"/>
            <rFont val="Tahoma"/>
            <family val="2"/>
            <charset val="204"/>
          </rPr>
          <t>Конст:</t>
        </r>
        <r>
          <rPr>
            <sz val="8"/>
            <color indexed="81"/>
            <rFont val="Tahoma"/>
            <family val="2"/>
            <charset val="204"/>
          </rPr>
          <t xml:space="preserve">
Укажите количество углов скругления. </t>
        </r>
      </text>
    </comment>
    <comment ref="D20" authorId="0">
      <text>
        <r>
          <rPr>
            <b/>
            <sz val="8"/>
            <color indexed="81"/>
            <rFont val="Tahoma"/>
            <family val="2"/>
            <charset val="204"/>
          </rPr>
          <t>Конст:</t>
        </r>
        <r>
          <rPr>
            <sz val="8"/>
            <color indexed="81"/>
            <rFont val="Tahoma"/>
            <family val="2"/>
            <charset val="204"/>
          </rPr>
          <t xml:space="preserve">
Не трогать без необходимости. Нужно только при заказе биговки на тонких бумагах.</t>
        </r>
      </text>
    </comment>
    <comment ref="I20" authorId="0">
      <text>
        <r>
          <rPr>
            <b/>
            <sz val="8"/>
            <color indexed="81"/>
            <rFont val="Tahoma"/>
            <family val="2"/>
            <charset val="204"/>
          </rPr>
          <t>Конст:</t>
        </r>
        <r>
          <rPr>
            <sz val="8"/>
            <color indexed="81"/>
            <rFont val="Tahoma"/>
            <family val="2"/>
            <charset val="204"/>
          </rPr>
          <t xml:space="preserve">
С допуском круглиться бумага блоком - возможно сползание угла. При точном круглении круглиться каждый лист отдельно, что значительно дороже!</t>
        </r>
      </text>
    </comment>
    <comment ref="C22" authorId="0">
      <text>
        <r>
          <rPr>
            <b/>
            <sz val="8"/>
            <color indexed="81"/>
            <rFont val="Tahoma"/>
            <family val="2"/>
            <charset val="204"/>
          </rPr>
          <t xml:space="preserve">Подсказка:
</t>
        </r>
        <r>
          <rPr>
            <sz val="8"/>
            <color indexed="81"/>
            <rFont val="Tahoma"/>
            <family val="2"/>
            <charset val="204"/>
          </rPr>
          <t xml:space="preserve">Выберите любой из предложенных вариантов переплёта. </t>
        </r>
      </text>
    </comment>
    <comment ref="D22" authorId="0">
      <text>
        <r>
          <rPr>
            <b/>
            <sz val="8"/>
            <color indexed="81"/>
            <rFont val="Tahoma"/>
            <family val="2"/>
            <charset val="204"/>
          </rPr>
          <t>Конст:</t>
        </r>
        <r>
          <rPr>
            <sz val="8"/>
            <color indexed="81"/>
            <rFont val="Tahoma"/>
            <family val="2"/>
            <charset val="204"/>
          </rPr>
          <t xml:space="preserve">
Переплёт на болт достаточно редок, он применяется обычно вместе с рукодельными обложками (кожа, ткань и пр.) </t>
        </r>
      </text>
    </comment>
    <comment ref="E22" authorId="0">
      <text>
        <r>
          <rPr>
            <b/>
            <sz val="8"/>
            <color indexed="81"/>
            <rFont val="Tahoma"/>
            <family val="2"/>
            <charset val="204"/>
          </rPr>
          <t>Самый удобный и прочный вид переплёта, удобен для длительной работы с изделием.</t>
        </r>
      </text>
    </comment>
    <comment ref="F22" authorId="0">
      <text>
        <r>
          <rPr>
            <b/>
            <sz val="8"/>
            <color indexed="81"/>
            <rFont val="Tahoma"/>
            <family val="2"/>
            <charset val="204"/>
          </rPr>
          <t>Пластиковая пружина удобна для случаев, когда необходимо без повреждений извлечь страницы из переплёта, а потом вставить обратно.</t>
        </r>
      </text>
    </comment>
    <comment ref="G22" authorId="0">
      <text>
        <r>
          <rPr>
            <b/>
            <sz val="8"/>
            <color indexed="81"/>
            <rFont val="Tahoma"/>
            <family val="2"/>
            <charset val="204"/>
          </rPr>
          <t>Быстрый способ вставить Ваше изделие в твёрдую обложку (кожа и т.д.). Чаще всего применяется для дипломных и других научных работ.</t>
        </r>
      </text>
    </comment>
    <comment ref="I22" authorId="0">
      <text>
        <r>
          <rPr>
            <b/>
            <sz val="8"/>
            <color indexed="81"/>
            <rFont val="Tahoma"/>
            <family val="2"/>
            <charset val="204"/>
          </rPr>
          <t>Количество пластиковых обложек</t>
        </r>
      </text>
    </comment>
    <comment ref="J25" authorId="0">
      <text>
        <r>
          <rPr>
            <b/>
            <sz val="8"/>
            <color indexed="81"/>
            <rFont val="Tahoma"/>
            <family val="2"/>
            <charset val="204"/>
          </rPr>
          <t>Конст:</t>
        </r>
        <r>
          <rPr>
            <sz val="8"/>
            <color indexed="81"/>
            <rFont val="Tahoma"/>
            <family val="2"/>
            <charset val="204"/>
          </rPr>
          <t xml:space="preserve">
Количество вставок равно количеству листов за исключением тетрадных блоков</t>
        </r>
      </text>
    </comment>
  </commentList>
</comments>
</file>

<file path=xl/comments10.xml><?xml version="1.0" encoding="utf-8"?>
<comments xmlns="http://schemas.openxmlformats.org/spreadsheetml/2006/main">
  <authors>
    <author>Конст</author>
  </authors>
  <commentList>
    <comment ref="C1" authorId="0">
      <text>
        <r>
          <rPr>
            <b/>
            <sz val="8"/>
            <color indexed="81"/>
            <rFont val="Tahoma"/>
            <family val="2"/>
            <charset val="204"/>
          </rPr>
          <t>Подсказка:</t>
        </r>
        <r>
          <rPr>
            <sz val="8"/>
            <color indexed="81"/>
            <rFont val="Tahoma"/>
            <family val="2"/>
            <charset val="204"/>
          </rPr>
          <t xml:space="preserve">
Должно быть кратно 4 страницам, так как наразвороте листа помещается 4 страницы</t>
        </r>
      </text>
    </comment>
    <comment ref="D4" authorId="0">
      <text>
        <r>
          <rPr>
            <b/>
            <sz val="8"/>
            <color indexed="81"/>
            <rFont val="Tahoma"/>
            <family val="2"/>
            <charset val="204"/>
          </rPr>
          <t xml:space="preserve">Подсказка:
</t>
        </r>
        <r>
          <rPr>
            <sz val="8"/>
            <color indexed="81"/>
            <rFont val="Tahoma"/>
            <family val="2"/>
            <charset val="204"/>
          </rPr>
          <t>Справа от ячейки выберите клавишу вниз, из раскрывшегося списка выберите нужный Вам размер печати. Если размера, который Вам нужен нет в списке, выберите максимально близкий размер по размерам больше Вашего (и по длине и по ширине). Точность и цена расчета зависят от привильного выбора данного параметра. Вы можете внести изменения в Ваш макет для оптимальной для Вас цены печати.</t>
        </r>
      </text>
    </comment>
    <comment ref="F4" authorId="0">
      <text>
        <r>
          <rPr>
            <b/>
            <sz val="8"/>
            <color indexed="81"/>
            <rFont val="Tahoma"/>
            <family val="2"/>
            <charset val="204"/>
          </rPr>
          <t xml:space="preserve">Подсказка:
</t>
        </r>
        <r>
          <rPr>
            <sz val="8"/>
            <color indexed="81"/>
            <rFont val="Tahoma"/>
            <family val="2"/>
            <charset val="204"/>
          </rPr>
          <t xml:space="preserve">Справа от ячейки выберите клавишу вниз, из раскрывшегося списка выберите цветность печати. Помните если у Вас на макете есть хоть одна цветная точка - считать следует как цветную печать. </t>
        </r>
      </text>
    </comment>
    <comment ref="G4" authorId="0">
      <text>
        <r>
          <rPr>
            <b/>
            <sz val="8"/>
            <color indexed="81"/>
            <rFont val="Tahoma"/>
            <family val="2"/>
            <charset val="204"/>
          </rPr>
          <t xml:space="preserve">Подсказка:
</t>
        </r>
        <r>
          <rPr>
            <sz val="8"/>
            <color indexed="81"/>
            <rFont val="Tahoma"/>
            <family val="2"/>
            <charset val="204"/>
          </rPr>
          <t>Справа от ячейки выберите клавишу вниз, из раскрывшегося списка выберите цветность печати. Помните если у Вас на макете есть хоть одна цветная точка - считать следует как цветную печать. Если Вы хотите одностороннюю печать, выберите пункт "НЕТ"</t>
        </r>
      </text>
    </comment>
    <comment ref="H4" authorId="0">
      <text>
        <r>
          <rPr>
            <b/>
            <sz val="8"/>
            <color indexed="81"/>
            <rFont val="Tahoma"/>
            <family val="2"/>
            <charset val="204"/>
          </rPr>
          <t>Подсказка:</t>
        </r>
        <r>
          <rPr>
            <sz val="8"/>
            <color indexed="81"/>
            <rFont val="Tahoma"/>
            <family val="2"/>
            <charset val="204"/>
          </rPr>
          <t xml:space="preserve">
Введите номер бумаги или картона, для расчета, слева Вы увидите детали выбранной бумаги, справа приведён список бумаг из нашей коллекции.</t>
        </r>
      </text>
    </comment>
    <comment ref="M4" authorId="0">
      <text>
        <r>
          <rPr>
            <b/>
            <sz val="8"/>
            <color indexed="81"/>
            <rFont val="Tahoma"/>
            <family val="2"/>
            <charset val="204"/>
          </rPr>
          <t>Конст:</t>
        </r>
        <r>
          <rPr>
            <sz val="8"/>
            <color indexed="81"/>
            <rFont val="Tahoma"/>
            <family val="2"/>
            <charset val="204"/>
          </rPr>
          <t xml:space="preserve">
Если ошибка нужно добавить цвет в печать</t>
        </r>
      </text>
    </comment>
  </commentList>
</comments>
</file>

<file path=xl/comments2.xml><?xml version="1.0" encoding="utf-8"?>
<comments xmlns="http://schemas.openxmlformats.org/spreadsheetml/2006/main">
  <authors>
    <author>Конст</author>
  </authors>
  <commentList>
    <comment ref="A35" authorId="0">
      <text>
        <r>
          <rPr>
            <b/>
            <sz val="8"/>
            <color indexed="81"/>
            <rFont val="Tahoma"/>
            <family val="2"/>
            <charset val="204"/>
          </rPr>
          <t>Конст:</t>
        </r>
        <r>
          <rPr>
            <sz val="8"/>
            <color indexed="81"/>
            <rFont val="Tahoma"/>
            <family val="2"/>
            <charset val="204"/>
          </rPr>
          <t xml:space="preserve">
Вставка в переплёт</t>
        </r>
      </text>
    </comment>
    <comment ref="A36" authorId="0">
      <text>
        <r>
          <rPr>
            <b/>
            <sz val="8"/>
            <color indexed="81"/>
            <rFont val="Tahoma"/>
            <family val="2"/>
            <charset val="204"/>
          </rPr>
          <t>Конст:</t>
        </r>
        <r>
          <rPr>
            <sz val="8"/>
            <color indexed="81"/>
            <rFont val="Tahoma"/>
            <family val="2"/>
            <charset val="204"/>
          </rPr>
          <t xml:space="preserve">
Ризо</t>
        </r>
      </text>
    </comment>
    <comment ref="A37" authorId="0">
      <text>
        <r>
          <rPr>
            <b/>
            <sz val="8"/>
            <color indexed="81"/>
            <rFont val="Tahoma"/>
            <family val="2"/>
            <charset val="204"/>
          </rPr>
          <t>Конст:</t>
        </r>
        <r>
          <rPr>
            <sz val="8"/>
            <color indexed="81"/>
            <rFont val="Tahoma"/>
            <family val="2"/>
            <charset val="204"/>
          </rPr>
          <t xml:space="preserve">
Цифра</t>
        </r>
      </text>
    </comment>
  </commentList>
</comments>
</file>

<file path=xl/comments3.xml><?xml version="1.0" encoding="utf-8"?>
<comments xmlns="http://schemas.openxmlformats.org/spreadsheetml/2006/main">
  <authors>
    <author>Конст</author>
  </authors>
  <commentList>
    <comment ref="A1" authorId="0">
      <text>
        <r>
          <rPr>
            <b/>
            <sz val="8"/>
            <color indexed="81"/>
            <rFont val="Tahoma"/>
            <family val="2"/>
            <charset val="204"/>
          </rPr>
          <t>Примечание:</t>
        </r>
        <r>
          <rPr>
            <sz val="8"/>
            <color indexed="81"/>
            <rFont val="Tahoma"/>
            <family val="2"/>
            <charset val="204"/>
          </rPr>
          <t xml:space="preserve">
Формат меняется в цифровой печати</t>
        </r>
      </text>
    </comment>
  </commentList>
</comments>
</file>

<file path=xl/comments4.xml><?xml version="1.0" encoding="utf-8"?>
<comments xmlns="http://schemas.openxmlformats.org/spreadsheetml/2006/main">
  <authors>
    <author>Конст</author>
  </authors>
  <commentList>
    <comment ref="K4" authorId="0">
      <text>
        <r>
          <rPr>
            <b/>
            <sz val="8"/>
            <color indexed="81"/>
            <rFont val="Tahoma"/>
            <family val="2"/>
            <charset val="204"/>
          </rPr>
          <t>Конст:</t>
        </r>
        <r>
          <rPr>
            <sz val="8"/>
            <color indexed="81"/>
            <rFont val="Tahoma"/>
            <family val="2"/>
            <charset val="204"/>
          </rPr>
          <t xml:space="preserve">
цифра
</t>
        </r>
      </text>
    </comment>
    <comment ref="L4" authorId="0">
      <text>
        <r>
          <rPr>
            <b/>
            <sz val="8"/>
            <color indexed="81"/>
            <rFont val="Tahoma"/>
            <family val="2"/>
            <charset val="204"/>
          </rPr>
          <t>Конст:</t>
        </r>
        <r>
          <rPr>
            <sz val="8"/>
            <color indexed="81"/>
            <rFont val="Tahoma"/>
            <family val="2"/>
            <charset val="204"/>
          </rPr>
          <t xml:space="preserve">
Ризо</t>
        </r>
      </text>
    </comment>
    <comment ref="M5" authorId="0">
      <text>
        <r>
          <rPr>
            <b/>
            <sz val="8"/>
            <color indexed="81"/>
            <rFont val="Tahoma"/>
            <family val="2"/>
            <charset val="204"/>
          </rPr>
          <t>Конст:</t>
        </r>
        <r>
          <rPr>
            <sz val="8"/>
            <color indexed="81"/>
            <rFont val="Tahoma"/>
            <family val="2"/>
            <charset val="204"/>
          </rPr>
          <t xml:space="preserve">
Тираж листов каталога</t>
        </r>
      </text>
    </comment>
    <comment ref="L17" authorId="0">
      <text>
        <r>
          <rPr>
            <b/>
            <sz val="8"/>
            <color indexed="81"/>
            <rFont val="Tahoma"/>
            <family val="2"/>
            <charset val="204"/>
          </rPr>
          <t>Конст:</t>
        </r>
        <r>
          <rPr>
            <sz val="8"/>
            <color indexed="81"/>
            <rFont val="Tahoma"/>
            <family val="2"/>
            <charset val="204"/>
          </rPr>
          <t xml:space="preserve">
Ризо</t>
        </r>
      </text>
    </comment>
  </commentList>
</comments>
</file>

<file path=xl/comments5.xml><?xml version="1.0" encoding="utf-8"?>
<comments xmlns="http://schemas.openxmlformats.org/spreadsheetml/2006/main">
  <authors>
    <author>Конст</author>
  </authors>
  <commentList>
    <comment ref="A1" authorId="0">
      <text>
        <r>
          <rPr>
            <b/>
            <sz val="8"/>
            <color indexed="81"/>
            <rFont val="Tahoma"/>
            <family val="2"/>
            <charset val="204"/>
          </rPr>
          <t>Конст:</t>
        </r>
        <r>
          <rPr>
            <sz val="8"/>
            <color indexed="81"/>
            <rFont val="Tahoma"/>
            <family val="2"/>
            <charset val="204"/>
          </rPr>
          <t xml:space="preserve">
Выберите материал из раскрывающегося списка</t>
        </r>
      </text>
    </comment>
  </commentList>
</comments>
</file>

<file path=xl/comments6.xml><?xml version="1.0" encoding="utf-8"?>
<comments xmlns="http://schemas.openxmlformats.org/spreadsheetml/2006/main">
  <authors>
    <author>Конст</author>
  </authors>
  <commentList>
    <comment ref="D3" authorId="0">
      <text>
        <r>
          <rPr>
            <b/>
            <sz val="8"/>
            <color indexed="81"/>
            <rFont val="Tahoma"/>
            <family val="2"/>
            <charset val="204"/>
          </rPr>
          <t>Конст:</t>
        </r>
        <r>
          <rPr>
            <sz val="8"/>
            <color indexed="81"/>
            <rFont val="Tahoma"/>
            <family val="2"/>
            <charset val="204"/>
          </rPr>
          <t xml:space="preserve">
Количество берется из Количества макетов "Раздел Цифровая печать", так же Вы можете вручную ввести нужное Вам количество обложек переплёта.</t>
        </r>
      </text>
    </comment>
    <comment ref="D8" authorId="0">
      <text>
        <r>
          <rPr>
            <b/>
            <sz val="8"/>
            <color indexed="81"/>
            <rFont val="Tahoma"/>
            <family val="2"/>
            <charset val="204"/>
          </rPr>
          <t>Конст:</t>
        </r>
        <r>
          <rPr>
            <sz val="8"/>
            <color indexed="81"/>
            <rFont val="Tahoma"/>
            <family val="2"/>
            <charset val="204"/>
          </rPr>
          <t xml:space="preserve">
Количество берется из Количества макетов "Раздел Цифровая печать", так же Вы можете вручную ввести нужное Вам количество обложек переплёта.</t>
        </r>
      </text>
    </comment>
  </commentList>
</comments>
</file>

<file path=xl/comments7.xml><?xml version="1.0" encoding="utf-8"?>
<comments xmlns="http://schemas.openxmlformats.org/spreadsheetml/2006/main">
  <authors>
    <author>Конст</author>
  </authors>
  <commentList>
    <comment ref="L3" authorId="0">
      <text>
        <r>
          <rPr>
            <b/>
            <sz val="8"/>
            <color indexed="81"/>
            <rFont val="Tahoma"/>
            <family val="2"/>
            <charset val="204"/>
          </rPr>
          <t>Конст:</t>
        </r>
        <r>
          <rPr>
            <sz val="8"/>
            <color indexed="81"/>
            <rFont val="Tahoma"/>
            <family val="2"/>
            <charset val="204"/>
          </rPr>
          <t xml:space="preserve">
кв.м.</t>
        </r>
      </text>
    </comment>
  </commentList>
</comments>
</file>

<file path=xl/comments8.xml><?xml version="1.0" encoding="utf-8"?>
<comments xmlns="http://schemas.openxmlformats.org/spreadsheetml/2006/main">
  <authors>
    <author>Конст</author>
  </authors>
  <commentList>
    <comment ref="B4" authorId="0">
      <text>
        <r>
          <rPr>
            <b/>
            <sz val="8"/>
            <color indexed="81"/>
            <rFont val="Tahoma"/>
            <family val="2"/>
            <charset val="204"/>
          </rPr>
          <t>Конст:</t>
        </r>
        <r>
          <rPr>
            <sz val="8"/>
            <color indexed="81"/>
            <rFont val="Tahoma"/>
            <family val="2"/>
            <charset val="204"/>
          </rPr>
          <t xml:space="preserve">
Плёнка без работ</t>
        </r>
      </text>
    </comment>
    <comment ref="D15" authorId="0">
      <text>
        <r>
          <rPr>
            <b/>
            <sz val="8"/>
            <color indexed="81"/>
            <rFont val="Tahoma"/>
            <family val="2"/>
            <charset val="204"/>
          </rPr>
          <t>Конст:</t>
        </r>
        <r>
          <rPr>
            <sz val="8"/>
            <color indexed="81"/>
            <rFont val="Tahoma"/>
            <family val="2"/>
            <charset val="204"/>
          </rPr>
          <t xml:space="preserve">
Ставить цену за А4</t>
        </r>
      </text>
    </comment>
  </commentList>
</comments>
</file>

<file path=xl/comments9.xml><?xml version="1.0" encoding="utf-8"?>
<comments xmlns="http://schemas.openxmlformats.org/spreadsheetml/2006/main">
  <authors>
    <author>Конст</author>
  </authors>
  <commentList>
    <comment ref="A2" authorId="0">
      <text>
        <r>
          <rPr>
            <b/>
            <sz val="8"/>
            <color indexed="81"/>
            <rFont val="Tahoma"/>
            <family val="2"/>
            <charset val="204"/>
          </rPr>
          <t>Конст:</t>
        </r>
        <r>
          <rPr>
            <sz val="8"/>
            <color indexed="81"/>
            <rFont val="Tahoma"/>
            <family val="2"/>
            <charset val="204"/>
          </rPr>
          <t xml:space="preserve">
360 и 600 dpi - формат печати для использования на улице с низким качеством, подходит для чтения с 5 м. и далее. В остальных случаях предпочтительны форматы печати 720 и 1440 dpi.</t>
        </r>
      </text>
    </comment>
    <comment ref="A3" authorId="0">
      <text>
        <r>
          <rPr>
            <b/>
            <sz val="8"/>
            <color indexed="81"/>
            <rFont val="Tahoma"/>
            <family val="2"/>
            <charset val="204"/>
          </rPr>
          <t>Конст:</t>
        </r>
        <r>
          <rPr>
            <sz val="8"/>
            <color indexed="81"/>
            <rFont val="Tahoma"/>
            <family val="2"/>
            <charset val="204"/>
          </rPr>
          <t xml:space="preserve">
ПР(прямоугольный), АР(арочный) штендер; буква Т в названии означает дополнительную раму крепления сверху; -20 (30) означает диаметр трубы штендера</t>
        </r>
      </text>
    </comment>
    <comment ref="A4" authorId="0">
      <text>
        <r>
          <rPr>
            <b/>
            <sz val="8"/>
            <color indexed="81"/>
            <rFont val="Tahoma"/>
            <family val="2"/>
            <charset val="204"/>
          </rPr>
          <t>Конст:</t>
        </r>
        <r>
          <rPr>
            <sz val="8"/>
            <color indexed="81"/>
            <rFont val="Tahoma"/>
            <family val="2"/>
            <charset val="204"/>
          </rPr>
          <t xml:space="preserve">
ПВХ 3 мм. - самый распространённый формат полотна относительно прочный и значительно дешёвый. 
ПВХ 5 мм. - лучше держится против вандалов, но так же не является абсолютной гарантией.</t>
        </r>
      </text>
    </comment>
  </commentList>
</comments>
</file>

<file path=xl/sharedStrings.xml><?xml version="1.0" encoding="utf-8"?>
<sst xmlns="http://schemas.openxmlformats.org/spreadsheetml/2006/main" count="3734" uniqueCount="1395">
  <si>
    <t>90*50 мм.</t>
  </si>
  <si>
    <t>9*5 см.</t>
  </si>
  <si>
    <t>1063*591 точек</t>
  </si>
  <si>
    <t>94*54 мм.</t>
  </si>
  <si>
    <t>100*70 мм.</t>
  </si>
  <si>
    <t>10*7 см.</t>
  </si>
  <si>
    <t>1181*827 точек</t>
  </si>
  <si>
    <t>104*70 мм.</t>
  </si>
  <si>
    <t>150*70 мм.</t>
  </si>
  <si>
    <t>15*7см.</t>
  </si>
  <si>
    <t>1772*827 точек</t>
  </si>
  <si>
    <t>154*74 мм.</t>
  </si>
  <si>
    <t>210*98 мм.</t>
  </si>
  <si>
    <t>21*9,8 см.</t>
  </si>
  <si>
    <t>2480*1157 точек</t>
  </si>
  <si>
    <t>214*102 мм.</t>
  </si>
  <si>
    <t>120*120 мм.</t>
  </si>
  <si>
    <t>12*12 см.</t>
  </si>
  <si>
    <t>1417*1417 точек</t>
  </si>
  <si>
    <t>124*124 мм.</t>
  </si>
  <si>
    <t>210х200</t>
  </si>
  <si>
    <t>210*200 мм.</t>
  </si>
  <si>
    <t>21*20 см.</t>
  </si>
  <si>
    <t>2480*2362 точек</t>
  </si>
  <si>
    <t>214*204 мм.</t>
  </si>
  <si>
    <t>297*420 мм.</t>
  </si>
  <si>
    <t>29,7*42 см.</t>
  </si>
  <si>
    <t>3508*4961 точек</t>
  </si>
  <si>
    <t>301*428 мм.</t>
  </si>
  <si>
    <t>210*297 мм.</t>
  </si>
  <si>
    <t>21*29,7см.</t>
  </si>
  <si>
    <t>2480*3508 точек</t>
  </si>
  <si>
    <t>214*301 мм.</t>
  </si>
  <si>
    <t>148*210 мм.</t>
  </si>
  <si>
    <t>14*21 см.</t>
  </si>
  <si>
    <t>16542480 точек</t>
  </si>
  <si>
    <t>152*214 мм.</t>
  </si>
  <si>
    <t>105*148 мм.</t>
  </si>
  <si>
    <t>10,5*14,8 см.</t>
  </si>
  <si>
    <t>1240*1748 точек</t>
  </si>
  <si>
    <t>109*152 мм.</t>
  </si>
  <si>
    <t>50*50 мм.</t>
  </si>
  <si>
    <t>5*5 см.</t>
  </si>
  <si>
    <t>591*591 точек</t>
  </si>
  <si>
    <t>54*54 мм.</t>
  </si>
  <si>
    <t>50х70</t>
  </si>
  <si>
    <t>50*70 мм.</t>
  </si>
  <si>
    <t>5*7 см.</t>
  </si>
  <si>
    <t>591*827 точек</t>
  </si>
  <si>
    <t>54*74 мм.</t>
  </si>
  <si>
    <t>70х70</t>
  </si>
  <si>
    <t>70*70 мм.</t>
  </si>
  <si>
    <t>7*7 см.</t>
  </si>
  <si>
    <t>827*827 точек</t>
  </si>
  <si>
    <t>74*74 мм.</t>
  </si>
  <si>
    <t>60х90</t>
  </si>
  <si>
    <t>60*90 мм.</t>
  </si>
  <si>
    <t>6*9 см.</t>
  </si>
  <si>
    <t>709*1063 точек</t>
  </si>
  <si>
    <t>64*94 мм.</t>
  </si>
  <si>
    <t>90х90</t>
  </si>
  <si>
    <t>90*90 мм.</t>
  </si>
  <si>
    <t>9*9 см.</t>
  </si>
  <si>
    <t>1063*1063 точек</t>
  </si>
  <si>
    <t>94*94 мм.</t>
  </si>
  <si>
    <t>49х200</t>
  </si>
  <si>
    <t>49*200 мм.</t>
  </si>
  <si>
    <t>4,9*20 см.</t>
  </si>
  <si>
    <t>579*2362 точек</t>
  </si>
  <si>
    <t>53*204 мм.</t>
  </si>
  <si>
    <t>100х210</t>
  </si>
  <si>
    <t>100*210 мм.</t>
  </si>
  <si>
    <t>10*21 см.</t>
  </si>
  <si>
    <t>1181*2480 точек</t>
  </si>
  <si>
    <t>104*214 мм.</t>
  </si>
  <si>
    <t>100х70 (Карманный календарь)</t>
  </si>
  <si>
    <t>150х70 (Денежка)</t>
  </si>
  <si>
    <t>210х98 (Евро флаер)</t>
  </si>
  <si>
    <t>120х120 (Компакт диск)</t>
  </si>
  <si>
    <t> 297х420 (А3)</t>
  </si>
  <si>
    <t> 210х297 (А4)</t>
  </si>
  <si>
    <t>148х210 (А5)</t>
  </si>
  <si>
    <t>105х148 (А6)</t>
  </si>
  <si>
    <t>50х50 (Минивизитка)</t>
  </si>
  <si>
    <t>90*50 (Визитки цифра)</t>
  </si>
  <si>
    <t>630*297 (3*А4)</t>
  </si>
  <si>
    <t>960*305 (4*А4)</t>
  </si>
  <si>
    <t>960*305 мм.</t>
  </si>
  <si>
    <t>630*297 мм.</t>
  </si>
  <si>
    <t>96*30,5 см.</t>
  </si>
  <si>
    <t>63*29,7 см.</t>
  </si>
  <si>
    <t>11339*3602 точек</t>
  </si>
  <si>
    <t>7441*4689 точек</t>
  </si>
  <si>
    <t>нет</t>
  </si>
  <si>
    <t>63,4*30,1 мм.</t>
  </si>
  <si>
    <t>Число резов</t>
  </si>
  <si>
    <t>Резы без полей</t>
  </si>
  <si>
    <t>Цена принтера</t>
  </si>
  <si>
    <t>Цена Копии</t>
  </si>
  <si>
    <t>Цена электроэнергии</t>
  </si>
  <si>
    <t>Цена черного тонера</t>
  </si>
  <si>
    <t>Цена цветного тонера</t>
  </si>
  <si>
    <t>Расход тонера, копий</t>
  </si>
  <si>
    <t>Количество цв. копий в минуту</t>
  </si>
  <si>
    <t>Количество чер.копий в минуту</t>
  </si>
  <si>
    <t>Ресурс кита</t>
  </si>
  <si>
    <t>dev-kit чёрный</t>
  </si>
  <si>
    <t>dev-kit цветной</t>
  </si>
  <si>
    <t>Фотобарабан</t>
  </si>
  <si>
    <t>Себестоимость по электроэнергии</t>
  </si>
  <si>
    <t>Себестоимость по краске</t>
  </si>
  <si>
    <t>Толст.2 цвет</t>
  </si>
  <si>
    <t>Толст.4 цвет</t>
  </si>
  <si>
    <t>Толст.2 чб</t>
  </si>
  <si>
    <t>Толст.4 чб</t>
  </si>
  <si>
    <t>ФЗП</t>
  </si>
  <si>
    <t>Себестоимость работы</t>
  </si>
  <si>
    <t>Рабочие дни в месяц</t>
  </si>
  <si>
    <t>Рабочий день в часах</t>
  </si>
  <si>
    <t>Себестоимость по обслуживанию</t>
  </si>
  <si>
    <t>Амортизация</t>
  </si>
  <si>
    <t>Себестоимость печати</t>
  </si>
  <si>
    <t>Форматы</t>
  </si>
  <si>
    <t>SRA3</t>
  </si>
  <si>
    <t>A3</t>
  </si>
  <si>
    <t>SRA4</t>
  </si>
  <si>
    <t>A4</t>
  </si>
  <si>
    <t>96*30,5</t>
  </si>
  <si>
    <t>Стоимость резки</t>
  </si>
  <si>
    <t>Первый рез</t>
  </si>
  <si>
    <t>Второй и последующий</t>
  </si>
  <si>
    <t>Цена реза</t>
  </si>
  <si>
    <t>Коэфициент резки</t>
  </si>
  <si>
    <t>Формат точной резки</t>
  </si>
  <si>
    <t>Частей с А4</t>
  </si>
  <si>
    <t>Састей с SRA4</t>
  </si>
  <si>
    <t>Толщина бумаги мкм</t>
  </si>
  <si>
    <t>Частей на листе</t>
  </si>
  <si>
    <t>В ряд</t>
  </si>
  <si>
    <t>В столбик</t>
  </si>
  <si>
    <t>Обрезать поля</t>
  </si>
  <si>
    <t>Да</t>
  </si>
  <si>
    <t>Нет</t>
  </si>
  <si>
    <t>Эконом - 5 мм.</t>
  </si>
  <si>
    <t>Стандарт - 2 мм.</t>
  </si>
  <si>
    <t>Точно - 1 мм.</t>
  </si>
  <si>
    <t>Абсолют - 0 мм.</t>
  </si>
  <si>
    <t>Точность реза</t>
  </si>
  <si>
    <t>Порядок проверки (гарантии)</t>
  </si>
  <si>
    <t>Без гарантий (Скидка на резку)</t>
  </si>
  <si>
    <t>Перерасчёт тиража из суммы резки</t>
  </si>
  <si>
    <t>Перерасчёт заявленной суммы и Стоимости резки</t>
  </si>
  <si>
    <t>Гарантии резки</t>
  </si>
  <si>
    <t>Перерасчёт тиража из заявленной суммы</t>
  </si>
  <si>
    <t>Стоимость тиража для резки</t>
  </si>
  <si>
    <t>офсет 300</t>
  </si>
  <si>
    <t>80 гр.</t>
  </si>
  <si>
    <t>глянец 130 гр.</t>
  </si>
  <si>
    <t>офсет 170 гр.</t>
  </si>
  <si>
    <t>офсет 130 гр.</t>
  </si>
  <si>
    <t>Ламинация</t>
  </si>
  <si>
    <t>ПВХ 3-5 мм.</t>
  </si>
  <si>
    <t>Магнитный винил</t>
  </si>
  <si>
    <t>Высота реза</t>
  </si>
  <si>
    <t>Количество листов</t>
  </si>
  <si>
    <t>Высота стопы, мм.</t>
  </si>
  <si>
    <t>Вид бумаги</t>
  </si>
  <si>
    <t>Количество резов</t>
  </si>
  <si>
    <t>Бумага из пачки</t>
  </si>
  <si>
    <t>Всего</t>
  </si>
  <si>
    <t>Формат мм. (Название)</t>
  </si>
  <si>
    <t>Вывод на печать, минут</t>
  </si>
  <si>
    <t>Совмещение сторон</t>
  </si>
  <si>
    <t>Ср.зар.сотрудника</t>
  </si>
  <si>
    <t>Цена</t>
  </si>
  <si>
    <t>Цена ПК</t>
  </si>
  <si>
    <t>Эксплуатация</t>
  </si>
  <si>
    <t>Создание матрицы,1 часть мин</t>
  </si>
  <si>
    <t>Подрезка бумаги, укладка в лоток, мин.</t>
  </si>
  <si>
    <t>№</t>
  </si>
  <si>
    <t>Тип</t>
  </si>
  <si>
    <t> Фактура</t>
  </si>
  <si>
    <t xml:space="preserve">Цвет </t>
  </si>
  <si>
    <t>Пл</t>
  </si>
  <si>
    <t>Цена за комплект</t>
  </si>
  <si>
    <t>Colorcopy</t>
  </si>
  <si>
    <t>Гладкий высоко белый (стандарт)</t>
  </si>
  <si>
    <t>COPENHAGEN</t>
  </si>
  <si>
    <t>Микровельвет</t>
  </si>
  <si>
    <t>COMET</t>
  </si>
  <si>
    <t>Гладкий</t>
  </si>
  <si>
    <t>Слоновая кость</t>
  </si>
  <si>
    <t>MAJESTIC</t>
  </si>
  <si>
    <t>Белый мрамор Металлик</t>
  </si>
  <si>
    <t>MAXIGLOSS</t>
  </si>
  <si>
    <t>Гладкий Глянец мелованный (стандарт)</t>
  </si>
  <si>
    <t>ICELASER</t>
  </si>
  <si>
    <t>Лён</t>
  </si>
  <si>
    <t>Белый лён</t>
  </si>
  <si>
    <t>Металлик брильянт</t>
  </si>
  <si>
    <t>PREMIER</t>
  </si>
  <si>
    <t>Микрофибр</t>
  </si>
  <si>
    <t>Королевское золото</t>
  </si>
  <si>
    <t>BURANO</t>
  </si>
  <si>
    <t>Зелёный чай</t>
  </si>
  <si>
    <t>калька</t>
  </si>
  <si>
    <t>TOUCH</t>
  </si>
  <si>
    <t>Латекс</t>
  </si>
  <si>
    <t>Verona</t>
  </si>
  <si>
    <t>Бордовый матовый</t>
  </si>
  <si>
    <t>Majestic</t>
  </si>
  <si>
    <t>Императорский красный</t>
  </si>
  <si>
    <t>Premier</t>
  </si>
  <si>
    <t>Мятный</t>
  </si>
  <si>
    <t>Copenhagen</t>
  </si>
  <si>
    <t>белый</t>
  </si>
  <si>
    <t>Матовый мелованный белый (стандарт)</t>
  </si>
  <si>
    <t>Волшебная свеча</t>
  </si>
  <si>
    <t>Сияние золота</t>
  </si>
  <si>
    <t>Touch</t>
  </si>
  <si>
    <t>Чёрный</t>
  </si>
  <si>
    <t>Оранжевый</t>
  </si>
  <si>
    <t>Sugar</t>
  </si>
  <si>
    <t>Тем. Серый</t>
  </si>
  <si>
    <t>Тём. Синий</t>
  </si>
  <si>
    <t>Серебро</t>
  </si>
  <si>
    <t>Синий</t>
  </si>
  <si>
    <t>Хамелеон золотой свет</t>
  </si>
  <si>
    <t>Небо Дамаска</t>
  </si>
  <si>
    <t>Холодно-голубой</t>
  </si>
  <si>
    <t>Лунное серебро</t>
  </si>
  <si>
    <t>Зелёный сад</t>
  </si>
  <si>
    <t>Бронза</t>
  </si>
  <si>
    <t>Мята</t>
  </si>
  <si>
    <t>Ярко-красный</t>
  </si>
  <si>
    <t>брильянт</t>
  </si>
  <si>
    <t>Contrast</t>
  </si>
  <si>
    <t>Верже</t>
  </si>
  <si>
    <t>Розовый металлик</t>
  </si>
  <si>
    <t>New eurocolor</t>
  </si>
  <si>
    <t>Кожа</t>
  </si>
  <si>
    <t>слоновая кость</t>
  </si>
  <si>
    <t>желтый</t>
  </si>
  <si>
    <t>зеленый</t>
  </si>
  <si>
    <t>красный</t>
  </si>
  <si>
    <t>синий</t>
  </si>
  <si>
    <t>XP люкс</t>
  </si>
  <si>
    <t>1 стр гладкий</t>
  </si>
  <si>
    <t>Белый глянец</t>
  </si>
  <si>
    <t>Красный</t>
  </si>
  <si>
    <t>Ваниль</t>
  </si>
  <si>
    <t>Cocktail</t>
  </si>
  <si>
    <t>Белое золото</t>
  </si>
  <si>
    <t>Белый металлик</t>
  </si>
  <si>
    <t>Лиловый металлик</t>
  </si>
  <si>
    <t>Мятный металлик</t>
  </si>
  <si>
    <t>Оранжевый металлик</t>
  </si>
  <si>
    <t>Золото</t>
  </si>
  <si>
    <t>Millenium</t>
  </si>
  <si>
    <t>Настоящее золото</t>
  </si>
  <si>
    <t>Настоящее серебро</t>
  </si>
  <si>
    <t>Torito</t>
  </si>
  <si>
    <t>1  ст лён</t>
  </si>
  <si>
    <t>Серый</t>
  </si>
  <si>
    <t>Хром</t>
  </si>
  <si>
    <t>Голубой</t>
  </si>
  <si>
    <t>Медь</t>
  </si>
  <si>
    <t>Брильянт</t>
  </si>
  <si>
    <t>Imperial</t>
  </si>
  <si>
    <t>Легкий фетр</t>
  </si>
  <si>
    <t>Haute Couture Chevrons polar</t>
  </si>
  <si>
    <t>Диз. Тиснение</t>
  </si>
  <si>
    <t>Белый</t>
  </si>
  <si>
    <t>Haute Couture prince de galles</t>
  </si>
  <si>
    <t>Диз. тиснение</t>
  </si>
  <si>
    <t>Haute Couture Reflections Gold</t>
  </si>
  <si>
    <t>Haute Couture Reflections polar</t>
  </si>
  <si>
    <t>Коэфициент</t>
  </si>
  <si>
    <t>Расход электроэнергии, принтер</t>
  </si>
  <si>
    <t>Рядов</t>
  </si>
  <si>
    <t>коп</t>
  </si>
  <si>
    <t>Округление цены за штуку, цифра</t>
  </si>
  <si>
    <t>Округление цены за штуку, ризо</t>
  </si>
  <si>
    <t>Тираж</t>
  </si>
  <si>
    <t>Формат</t>
  </si>
  <si>
    <t>Лицевая сторона</t>
  </si>
  <si>
    <t>Задняя сторона</t>
  </si>
  <si>
    <t>Плотность</t>
  </si>
  <si>
    <t>Сложение</t>
  </si>
  <si>
    <t>Доп услуги</t>
  </si>
  <si>
    <t>Перфорация</t>
  </si>
  <si>
    <t>Скругление углов</t>
  </si>
  <si>
    <t>Бумага</t>
  </si>
  <si>
    <t>Цветной</t>
  </si>
  <si>
    <t>Черно-белый</t>
  </si>
  <si>
    <t>да</t>
  </si>
  <si>
    <t>130-160 гр.</t>
  </si>
  <si>
    <t>300 гр.</t>
  </si>
  <si>
    <t>Modena серебро</t>
  </si>
  <si>
    <t>Снегурочка</t>
  </si>
  <si>
    <t>Мелованный глянец</t>
  </si>
  <si>
    <t>№ Бумаги</t>
  </si>
  <si>
    <t>Название</t>
  </si>
  <si>
    <t xml:space="preserve">Белый </t>
  </si>
  <si>
    <t>Серебро металлик</t>
  </si>
  <si>
    <t>Цвет</t>
  </si>
  <si>
    <t>Цена бумаги, лист</t>
  </si>
  <si>
    <t>Листов необходимо для печати тиража</t>
  </si>
  <si>
    <t>Точное количество изделий</t>
  </si>
  <si>
    <t>Цена за тираж</t>
  </si>
  <si>
    <t>Цена за штуку</t>
  </si>
  <si>
    <t>Точный тираж</t>
  </si>
  <si>
    <t>Примечания для технолога</t>
  </si>
  <si>
    <t xml:space="preserve">белый Матовый </t>
  </si>
  <si>
    <t>Плотность печати</t>
  </si>
  <si>
    <t>Детально:</t>
  </si>
  <si>
    <t>Стоимость печати</t>
  </si>
  <si>
    <t>Цена печати</t>
  </si>
  <si>
    <t>Обратная сторона</t>
  </si>
  <si>
    <t>Формат печати</t>
  </si>
  <si>
    <t>Обрез полей</t>
  </si>
  <si>
    <t>450*320 (SRA3)</t>
  </si>
  <si>
    <t>Стоимость бумаги</t>
  </si>
  <si>
    <t>Наценка за формат, коэфициент</t>
  </si>
  <si>
    <t>Цена, единица</t>
  </si>
  <si>
    <t>Стоимость услуги</t>
  </si>
  <si>
    <t>Создание матрицы, всего:</t>
  </si>
  <si>
    <t>ТОЛСТЫЙ4</t>
  </si>
  <si>
    <t>ТОЛСТЫЙ2</t>
  </si>
  <si>
    <t>ОБЫЧНЫЙ</t>
  </si>
  <si>
    <t>самоклейка</t>
  </si>
  <si>
    <t>белый полуглянец</t>
  </si>
  <si>
    <t>Коэфициенты печати</t>
  </si>
  <si>
    <t>Цена за лист А4</t>
  </si>
  <si>
    <t>Себестоимость А4</t>
  </si>
  <si>
    <t>Фактура</t>
  </si>
  <si>
    <t>Частей с 90*70 см.</t>
  </si>
  <si>
    <t>Визитницы стандарт пластик складные</t>
  </si>
  <si>
    <t>Округление тиража</t>
  </si>
  <si>
    <t>Цена закупки</t>
  </si>
  <si>
    <t xml:space="preserve">Коэфициенты бумаги </t>
  </si>
  <si>
    <t>Кол-во макетов</t>
  </si>
  <si>
    <t>Наша цена</t>
  </si>
  <si>
    <t>Длина</t>
  </si>
  <si>
    <t>Длина плёнки, см. для рулонной ламинации</t>
  </si>
  <si>
    <t>Отрез см.:</t>
  </si>
  <si>
    <t>Ламинация 32мкр.  Рулон матовый</t>
  </si>
  <si>
    <t>Ламинация 75мкр.  Рулон матовый</t>
  </si>
  <si>
    <t>Ламинация 125мкр.  Рулон матовый</t>
  </si>
  <si>
    <t>Настройка ламинатора</t>
  </si>
  <si>
    <t>Коэфициент брака в процентах</t>
  </si>
  <si>
    <t>Скорость</t>
  </si>
  <si>
    <t>Цена времени работы ламинатора</t>
  </si>
  <si>
    <t>Цена времени работы сотрудника</t>
  </si>
  <si>
    <t>Цена брака</t>
  </si>
  <si>
    <t>Цена за плёнку</t>
  </si>
  <si>
    <t xml:space="preserve">32мкр.  глянец Ламинация Рулон </t>
  </si>
  <si>
    <t xml:space="preserve">75 мкр. Глянец </t>
  </si>
  <si>
    <t>125 мкр. Глянец</t>
  </si>
  <si>
    <t>250 мкр. Глянец</t>
  </si>
  <si>
    <t>авто</t>
  </si>
  <si>
    <t>1 биг</t>
  </si>
  <si>
    <t>2 биг</t>
  </si>
  <si>
    <t>Фальцовка</t>
  </si>
  <si>
    <t>Биговка 2 бига</t>
  </si>
  <si>
    <t>Биговка 1 бига</t>
  </si>
  <si>
    <t>Настройка фальцовки</t>
  </si>
  <si>
    <t>Настройка биговки</t>
  </si>
  <si>
    <t>Авто фальцовка</t>
  </si>
  <si>
    <t>Биговка</t>
  </si>
  <si>
    <t>Количество сгибов</t>
  </si>
  <si>
    <t>при необходимости</t>
  </si>
  <si>
    <t>Длина в м.</t>
  </si>
  <si>
    <t>Нужно (да=1/нет=0)</t>
  </si>
  <si>
    <t>Стоимость</t>
  </si>
  <si>
    <t>Люверсы</t>
  </si>
  <si>
    <t>Ширина в м.</t>
  </si>
  <si>
    <t>Шаг люверса в см.</t>
  </si>
  <si>
    <t>Площадь</t>
  </si>
  <si>
    <t>Периметр</t>
  </si>
  <si>
    <t>Сварка двух кусков баннера</t>
  </si>
  <si>
    <t>Резка на части</t>
  </si>
  <si>
    <t>dpi</t>
  </si>
  <si>
    <t>Итого</t>
  </si>
  <si>
    <t>Сумма доп. Работ</t>
  </si>
  <si>
    <t>Размер скидки</t>
  </si>
  <si>
    <t>Макс размер материала</t>
  </si>
  <si>
    <t>Стоимость за кв.м.</t>
  </si>
  <si>
    <t>Наружная печать</t>
  </si>
  <si>
    <t>Перерасход</t>
  </si>
  <si>
    <t>Банерная сетка 370г/м2</t>
  </si>
  <si>
    <t>ОКОНЧАТЕЛЬНАЯ ЦЕНА ДОП. УСЛУГ НЕТ</t>
  </si>
  <si>
    <t>сотовый поликорбонат</t>
  </si>
  <si>
    <t>ШИРИНЫ МАТЕРИАЛОВ</t>
  </si>
  <si>
    <t>Материал/ширина</t>
  </si>
  <si>
    <t>cтоимость перерасходов</t>
  </si>
  <si>
    <t>•</t>
  </si>
  <si>
    <t>Баннер траслюцентный</t>
  </si>
  <si>
    <t>Нужно уточнять наличие</t>
  </si>
  <si>
    <t>Баннер БЛОКАУТ</t>
  </si>
  <si>
    <t>Самоклеющ.пл. глянцевая, матовая, прозрачная</t>
  </si>
  <si>
    <t>Пленка транслюцентная</t>
  </si>
  <si>
    <t>Пленка автомобильная AVERY 2000</t>
  </si>
  <si>
    <t>Пленка перфорированная</t>
  </si>
  <si>
    <t>Постерная бумага</t>
  </si>
  <si>
    <t>Фотобумага</t>
  </si>
  <si>
    <t>Бумага blueback</t>
  </si>
  <si>
    <t>Расчёт печати 360 dpi</t>
  </si>
  <si>
    <t>Материал/ширина м.</t>
  </si>
  <si>
    <t xml:space="preserve">Баннер, Китай </t>
  </si>
  <si>
    <t>Баннер, Европа</t>
  </si>
  <si>
    <t>Баннерная сетка</t>
  </si>
  <si>
    <t>ШИРОКОФОРМАТНАЯ  ПЕЧАТЬ 3,2 м</t>
  </si>
  <si>
    <t>Стоимость кв.м.</t>
  </si>
  <si>
    <t>Разрешение печати</t>
  </si>
  <si>
    <t>360dpi</t>
  </si>
  <si>
    <t>600dpi</t>
  </si>
  <si>
    <r>
      <t>Банер 440г/м</t>
    </r>
    <r>
      <rPr>
        <vertAlign val="superscript"/>
        <sz val="11"/>
        <color indexed="8"/>
        <rFont val="Calibri"/>
        <family val="2"/>
        <charset val="204"/>
      </rPr>
      <t xml:space="preserve">2 </t>
    </r>
    <r>
      <rPr>
        <sz val="11"/>
        <color theme="1"/>
        <rFont val="Calibri"/>
        <family val="2"/>
        <charset val="204"/>
        <scheme val="minor"/>
      </rPr>
      <t>(Китай)</t>
    </r>
  </si>
  <si>
    <r>
      <t>Банер 450г/м</t>
    </r>
    <r>
      <rPr>
        <vertAlign val="superscript"/>
        <sz val="11"/>
        <color indexed="8"/>
        <rFont val="Calibri"/>
        <family val="2"/>
        <charset val="204"/>
      </rPr>
      <t>2</t>
    </r>
    <r>
      <rPr>
        <sz val="11"/>
        <color theme="1"/>
        <rFont val="Calibri"/>
        <family val="2"/>
        <charset val="204"/>
        <scheme val="minor"/>
      </rPr>
      <t xml:space="preserve"> (Европа )</t>
    </r>
  </si>
  <si>
    <r>
      <t>Банер 520г/м</t>
    </r>
    <r>
      <rPr>
        <vertAlign val="superscript"/>
        <sz val="11"/>
        <color indexed="8"/>
        <rFont val="Calibri"/>
        <family val="2"/>
        <charset val="204"/>
      </rPr>
      <t>2</t>
    </r>
    <r>
      <rPr>
        <sz val="11"/>
        <color theme="1"/>
        <rFont val="Calibri"/>
        <family val="2"/>
        <charset val="204"/>
        <scheme val="minor"/>
      </rPr>
      <t xml:space="preserve"> (Европа)</t>
    </r>
  </si>
  <si>
    <t>Бумага на синей подложке (blueback)</t>
  </si>
  <si>
    <r>
      <t>Бумага Ситилайт 150г/м</t>
    </r>
    <r>
      <rPr>
        <vertAlign val="superscript"/>
        <sz val="11"/>
        <color indexed="8"/>
        <rFont val="Calibri"/>
        <family val="2"/>
        <charset val="204"/>
      </rPr>
      <t xml:space="preserve">2 </t>
    </r>
    <r>
      <rPr>
        <sz val="11"/>
        <color theme="1"/>
        <rFont val="Calibri"/>
        <family val="2"/>
        <charset val="204"/>
        <scheme val="minor"/>
      </rPr>
      <t xml:space="preserve"> транслюцентная</t>
    </r>
  </si>
  <si>
    <r>
      <t>Бумага Ситилайт 150/м</t>
    </r>
    <r>
      <rPr>
        <vertAlign val="superscript"/>
        <sz val="11"/>
        <color indexed="8"/>
        <rFont val="Calibri"/>
        <family val="2"/>
        <charset val="204"/>
      </rPr>
      <t>2</t>
    </r>
    <r>
      <rPr>
        <sz val="11"/>
        <color theme="1"/>
        <rFont val="Calibri"/>
        <family val="2"/>
        <charset val="204"/>
        <scheme val="minor"/>
      </rPr>
      <t xml:space="preserve">  двусторонняя печать</t>
    </r>
  </si>
  <si>
    <r>
      <t>Банерная сетка 370г/м</t>
    </r>
    <r>
      <rPr>
        <vertAlign val="superscript"/>
        <sz val="11"/>
        <color indexed="8"/>
        <rFont val="Calibri"/>
        <family val="2"/>
        <charset val="204"/>
      </rPr>
      <t>2</t>
    </r>
  </si>
  <si>
    <t>Самоклеющаяся пленка (матовая глянцевая прозрачная)</t>
  </si>
  <si>
    <t>Самоклеющаяся пленка для  авто  Avery 2000</t>
  </si>
  <si>
    <t>Самоклеющаяся пленка (транслюцентная)</t>
  </si>
  <si>
    <r>
      <t>Банер транслюцентный 440г/м</t>
    </r>
    <r>
      <rPr>
        <vertAlign val="superscript"/>
        <sz val="11"/>
        <color indexed="8"/>
        <rFont val="Calibri"/>
        <family val="2"/>
        <charset val="204"/>
      </rPr>
      <t>2</t>
    </r>
  </si>
  <si>
    <t>Банер Blockout светоблокирующий односторонняя печать</t>
  </si>
  <si>
    <t>двусторонняя печать</t>
  </si>
  <si>
    <t>ИНТЕРЬЕРНАЯ ПЕЧАТЬ до 1,6 м</t>
  </si>
  <si>
    <t>720dpi</t>
  </si>
  <si>
    <t>1440dpi</t>
  </si>
  <si>
    <t>Самоклеющаяся пленка для  авто Avery 2000</t>
  </si>
  <si>
    <r>
      <t>Банер 440г/м</t>
    </r>
    <r>
      <rPr>
        <vertAlign val="superscript"/>
        <sz val="11"/>
        <color indexed="8"/>
        <rFont val="Calibri"/>
        <family val="2"/>
        <charset val="204"/>
      </rPr>
      <t>2</t>
    </r>
    <r>
      <rPr>
        <sz val="11"/>
        <color theme="1"/>
        <rFont val="Calibri"/>
        <family val="2"/>
        <charset val="204"/>
        <scheme val="minor"/>
      </rPr>
      <t>(Китай)</t>
    </r>
  </si>
  <si>
    <r>
      <t>Банер 510г/м</t>
    </r>
    <r>
      <rPr>
        <vertAlign val="superscript"/>
        <sz val="11"/>
        <color indexed="8"/>
        <rFont val="Calibri"/>
        <family val="2"/>
        <charset val="204"/>
      </rPr>
      <t>2</t>
    </r>
    <r>
      <rPr>
        <sz val="11"/>
        <color theme="1"/>
        <rFont val="Calibri"/>
        <family val="2"/>
        <charset val="204"/>
        <scheme val="minor"/>
      </rPr>
      <t>(Европа)</t>
    </r>
  </si>
  <si>
    <r>
      <t>Постерная бумага 150г/м</t>
    </r>
    <r>
      <rPr>
        <vertAlign val="superscript"/>
        <sz val="11"/>
        <color indexed="8"/>
        <rFont val="Calibri"/>
        <family val="2"/>
        <charset val="204"/>
      </rPr>
      <t>2</t>
    </r>
  </si>
  <si>
    <r>
      <t>Фото бумага 200г/м</t>
    </r>
    <r>
      <rPr>
        <vertAlign val="superscript"/>
        <sz val="11"/>
        <color indexed="8"/>
        <rFont val="Calibri"/>
        <family val="2"/>
        <charset val="204"/>
      </rPr>
      <t>2</t>
    </r>
  </si>
  <si>
    <t>Банер Blockout светоблокирующий</t>
  </si>
  <si>
    <t xml:space="preserve">Банер Blockout светоблокирующий односторонняя печать                                               </t>
  </si>
  <si>
    <t>Банер Blockout светоблокирующий двусторонняя печать</t>
  </si>
  <si>
    <t xml:space="preserve">ПОСЛЕПЕЧАТНАЯ ОБРАБОТКА                                                         </t>
  </si>
  <si>
    <t>Установка люверсов</t>
  </si>
  <si>
    <t>Проклейка,карман,сварка    пог/м</t>
  </si>
  <si>
    <r>
      <t>Прикатка на пластик, без учета материала  м</t>
    </r>
    <r>
      <rPr>
        <vertAlign val="superscript"/>
        <sz val="11"/>
        <color indexed="8"/>
        <rFont val="Calibri"/>
        <family val="2"/>
        <charset val="204"/>
      </rPr>
      <t>2</t>
    </r>
  </si>
  <si>
    <r>
      <t>Ламинация                                       м</t>
    </r>
    <r>
      <rPr>
        <vertAlign val="superscript"/>
        <sz val="11"/>
        <color indexed="8"/>
        <rFont val="Calibri"/>
        <family val="2"/>
        <charset val="204"/>
      </rPr>
      <t>2</t>
    </r>
  </si>
  <si>
    <t>Печать и прикатка на пластик, ПВХ 3 мм</t>
  </si>
  <si>
    <t>Печать и прикатка на пластик, ПВХ 5 мм.</t>
  </si>
  <si>
    <t>Печать и прикатка на оцинкованный метал. Лист</t>
  </si>
  <si>
    <t>Себестоимость</t>
  </si>
  <si>
    <t>Профиль окантовочный П-образный белый 3 м.</t>
  </si>
  <si>
    <t>59.18</t>
  </si>
  <si>
    <t>Профиль окантовочный П-образный чёрный 3 м.</t>
  </si>
  <si>
    <t>55.73</t>
  </si>
  <si>
    <t>Профиль окантовочный U-образный капля белый 3 м.</t>
  </si>
  <si>
    <t>65.09</t>
  </si>
  <si>
    <t>Ф+биговка</t>
  </si>
  <si>
    <t>биговка</t>
  </si>
  <si>
    <t>фальц</t>
  </si>
  <si>
    <t>Стандартная Печать визиток (Срок: 1 рабочий день; Метод печати: Цифровой)</t>
  </si>
  <si>
    <t>Название/количество комп.</t>
  </si>
  <si>
    <t>Тираж / Цена за 1 комплект/(руб.) с учетом скидки за тираж</t>
  </si>
  <si>
    <t>Черно-белые 1 сторонние</t>
  </si>
  <si>
    <t>Черно-белые 2 сторонние</t>
  </si>
  <si>
    <t>Цветные 1 сторонние</t>
  </si>
  <si>
    <t>Цветные 2 сторонние</t>
  </si>
  <si>
    <t>Стоимость дополнительных опций</t>
  </si>
  <si>
    <t>Фольгирование</t>
  </si>
  <si>
    <t>Разработка макета визитки</t>
  </si>
  <si>
    <t>от 200 руб. окончательную стоимость необходимо уточнять у менеджера или по прайсу, в разделе дизайн.</t>
  </si>
  <si>
    <t>Тираж визиток, комплект</t>
  </si>
  <si>
    <t>Итого шт.</t>
  </si>
  <si>
    <t>Итого цена</t>
  </si>
  <si>
    <t>Без ламинации</t>
  </si>
  <si>
    <t>Количество углов</t>
  </si>
  <si>
    <t>с допуском</t>
  </si>
  <si>
    <t>точно</t>
  </si>
  <si>
    <t>Качество</t>
  </si>
  <si>
    <t>Фольга золото</t>
  </si>
  <si>
    <t>Фольга серебро</t>
  </si>
  <si>
    <t>Фольга синий</t>
  </si>
  <si>
    <t>Фольга красный</t>
  </si>
  <si>
    <t>Фольга зелёный</t>
  </si>
  <si>
    <t>Лицо</t>
  </si>
  <si>
    <t>фольга</t>
  </si>
  <si>
    <t>печать</t>
  </si>
  <si>
    <t>фольгирование</t>
  </si>
  <si>
    <t>Количество рубок</t>
  </si>
  <si>
    <t>Светлосерый</t>
  </si>
  <si>
    <t xml:space="preserve">Oracal гл.съ.пр. </t>
  </si>
  <si>
    <t>глянец съёмный прозрачный</t>
  </si>
  <si>
    <t xml:space="preserve">Oracal гл.съ.бл. </t>
  </si>
  <si>
    <t>глянец съёмный белый</t>
  </si>
  <si>
    <t xml:space="preserve">Oracal мат.съ.пр. </t>
  </si>
  <si>
    <t>матовый съёмный прозрачный</t>
  </si>
  <si>
    <t xml:space="preserve">Oracal мат.съ.бл. </t>
  </si>
  <si>
    <t>матовый съёмный белый</t>
  </si>
  <si>
    <t>Arconvert (неон)</t>
  </si>
  <si>
    <t>интенсивный цвет - неон</t>
  </si>
  <si>
    <t>14 октября 2014</t>
  </si>
  <si>
    <t>Новинка</t>
  </si>
  <si>
    <t>Оптимальная ширина материала для печати</t>
  </si>
  <si>
    <t>Используемый размер материала</t>
  </si>
  <si>
    <t>Наружная печать (360-600 dpi)</t>
  </si>
  <si>
    <t>Интерьерная печать (720-1440 dpi)</t>
  </si>
  <si>
    <t>Дополнительная информация по Заказу:</t>
  </si>
  <si>
    <t>Рассчет положения частей на куске</t>
  </si>
  <si>
    <t>Оптимальная ширина рулона</t>
  </si>
  <si>
    <t>Если матрица по длине</t>
  </si>
  <si>
    <t>Если матрица по ширине</t>
  </si>
  <si>
    <t>Отмена расчета</t>
  </si>
  <si>
    <t>Идеальная ширина полотна для минимального перерасхода материала</t>
  </si>
  <si>
    <t>Настройки широкоформата</t>
  </si>
  <si>
    <t>Поля печати, м.</t>
  </si>
  <si>
    <t>Поля сварки, м.</t>
  </si>
  <si>
    <t>Точный порез в край полотна</t>
  </si>
  <si>
    <t>Длина резов внутри в пог.м.</t>
  </si>
  <si>
    <t>Длина куска</t>
  </si>
  <si>
    <t>Стоимость резки на куски</t>
  </si>
  <si>
    <t>Ст. тиража</t>
  </si>
  <si>
    <t>Пвх-лист</t>
  </si>
  <si>
    <t>1 мм</t>
  </si>
  <si>
    <t>Материалы</t>
  </si>
  <si>
    <t>Ст.кв.м.</t>
  </si>
  <si>
    <t>3 мм</t>
  </si>
  <si>
    <t>черный</t>
  </si>
  <si>
    <t>5 мм</t>
  </si>
  <si>
    <t>Количество</t>
  </si>
  <si>
    <t>Стоимость - %</t>
  </si>
  <si>
    <t>Кв.м.</t>
  </si>
  <si>
    <t>Скидка</t>
  </si>
  <si>
    <t>12 ноября 2014</t>
  </si>
  <si>
    <t>Доп. услуги</t>
  </si>
  <si>
    <t>по умолчанию</t>
  </si>
  <si>
    <t>Стоимость тиража</t>
  </si>
  <si>
    <t>Варианты</t>
  </si>
  <si>
    <t>Действия по умолчанию</t>
  </si>
  <si>
    <t>Точный рез на части до 0,95 пог/м</t>
  </si>
  <si>
    <t>Веревка пог/м</t>
  </si>
  <si>
    <t>Проклейка (сварка) края баннера под карман</t>
  </si>
  <si>
    <t>Качество печати</t>
  </si>
  <si>
    <t>Накатка</t>
  </si>
  <si>
    <t>Резка</t>
  </si>
  <si>
    <t>Фигурная резка</t>
  </si>
  <si>
    <t>Пластик ПВХ</t>
  </si>
  <si>
    <t>Ширина</t>
  </si>
  <si>
    <t>Расчёт</t>
  </si>
  <si>
    <t>Накатка на пластик</t>
  </si>
  <si>
    <t>Площадь накатки м2</t>
  </si>
  <si>
    <t>18 ноября 2014</t>
  </si>
  <si>
    <t>Наценки</t>
  </si>
  <si>
    <t>Улучшен вид широкоформатной печати</t>
  </si>
  <si>
    <t>Глянец с клеющим слоем</t>
  </si>
  <si>
    <r>
      <t>S</t>
    </r>
    <r>
      <rPr>
        <b/>
        <sz val="9"/>
        <rFont val="Calibri"/>
        <family val="2"/>
        <charset val="204"/>
        <scheme val="minor"/>
      </rPr>
      <t>PECTRAL</t>
    </r>
  </si>
  <si>
    <r>
      <t>T</t>
    </r>
    <r>
      <rPr>
        <b/>
        <sz val="9"/>
        <rFont val="Calibri"/>
        <family val="2"/>
        <charset val="204"/>
        <scheme val="minor"/>
      </rPr>
      <t>ouch</t>
    </r>
  </si>
  <si>
    <t>Пакет</t>
  </si>
  <si>
    <t>Кусок</t>
  </si>
  <si>
    <t>26 ноября 2014</t>
  </si>
  <si>
    <t>Добавлена новая ламинация для цифровой печати с клеящим слоем.</t>
  </si>
  <si>
    <t>Количество сторон штендера</t>
  </si>
  <si>
    <t>Вид рамы</t>
  </si>
  <si>
    <t>Количество штендеров</t>
  </si>
  <si>
    <t>IQ MONDI LG46</t>
  </si>
  <si>
    <t>IQ MONDI NEOGN</t>
  </si>
  <si>
    <t>Штендеры</t>
  </si>
  <si>
    <t>ПРТ-30</t>
  </si>
  <si>
    <t>АР-20</t>
  </si>
  <si>
    <t>АРТ-30</t>
  </si>
  <si>
    <t>Высота</t>
  </si>
  <si>
    <t>Толщина трубы</t>
  </si>
  <si>
    <t>Доп. инфо</t>
  </si>
  <si>
    <t>Верхняя перекладина</t>
  </si>
  <si>
    <t>Настройки штендеров</t>
  </si>
  <si>
    <t>ПРТ-20</t>
  </si>
  <si>
    <t>Конверты</t>
  </si>
  <si>
    <t>Конверт</t>
  </si>
  <si>
    <t>Хамелеон гол. Свет</t>
  </si>
  <si>
    <t>Планшет А4 для одного листа</t>
  </si>
  <si>
    <t>Настройки объема</t>
  </si>
  <si>
    <t>Объем услуг</t>
  </si>
  <si>
    <t>PLU-A4-V</t>
  </si>
  <si>
    <t>Карман накопитель настенный А4</t>
  </si>
  <si>
    <t>KAN-1-A4-V (30)</t>
  </si>
  <si>
    <t>A5</t>
  </si>
  <si>
    <t>настенный</t>
  </si>
  <si>
    <t>NAK-3-A4</t>
  </si>
  <si>
    <t>1/3 A4 евро</t>
  </si>
  <si>
    <t>настольный</t>
  </si>
  <si>
    <t xml:space="preserve">Карман накопитель </t>
  </si>
  <si>
    <t>NAK-3-A5</t>
  </si>
  <si>
    <t>4 секции накопитель</t>
  </si>
  <si>
    <t>NAK-4-EU</t>
  </si>
  <si>
    <t>NAK-OTK-A4</t>
  </si>
  <si>
    <t>Буклетница</t>
  </si>
  <si>
    <t>объёмная</t>
  </si>
  <si>
    <t>NAK-OTK-EU</t>
  </si>
  <si>
    <t>Визитница</t>
  </si>
  <si>
    <t>VIZ-3-N</t>
  </si>
  <si>
    <t>Секции</t>
  </si>
  <si>
    <t>Назначение</t>
  </si>
  <si>
    <t>Код</t>
  </si>
  <si>
    <t>Накопитель</t>
  </si>
  <si>
    <t>визитка</t>
  </si>
  <si>
    <t>подставка</t>
  </si>
  <si>
    <t>VEER-4-G</t>
  </si>
  <si>
    <t>VIZ-4-2X</t>
  </si>
  <si>
    <t>VIT-6-G</t>
  </si>
  <si>
    <t>вертикальный</t>
  </si>
  <si>
    <t>горизонтальный</t>
  </si>
  <si>
    <t>VIT-6-V</t>
  </si>
  <si>
    <t>VIZ-4-AKN</t>
  </si>
  <si>
    <t>VIZ-1-S-G</t>
  </si>
  <si>
    <t>VIZ-1-N-G</t>
  </si>
  <si>
    <t>VIZ-1-PLUS</t>
  </si>
  <si>
    <t>NAK-SAP-EU</t>
  </si>
  <si>
    <t>Меню</t>
  </si>
  <si>
    <t>MENU-A5-V-MRD</t>
  </si>
  <si>
    <t>Подставка с боковыми ограничителями</t>
  </si>
  <si>
    <t>Сумма заказа</t>
  </si>
  <si>
    <t>Размер</t>
  </si>
  <si>
    <t>Ориентация</t>
  </si>
  <si>
    <t>Добавлены изделия из пластика. Для организации рабочего рекламного пространства и изготовления досок информации.</t>
  </si>
  <si>
    <t>4 декабря 2014</t>
  </si>
  <si>
    <t>прямоугольный</t>
  </si>
  <si>
    <t>арка</t>
  </si>
  <si>
    <t>Полотно</t>
  </si>
  <si>
    <t>Пвх-лист белый 3 мм</t>
  </si>
  <si>
    <t>Накатка на полотно штендера</t>
  </si>
  <si>
    <t>5 декабря</t>
  </si>
  <si>
    <t>есть</t>
  </si>
  <si>
    <t>евро</t>
  </si>
  <si>
    <t>руб.</t>
  </si>
  <si>
    <t>дол.</t>
  </si>
  <si>
    <t>Сумма фарнитуры</t>
  </si>
  <si>
    <t>12 января 2015</t>
  </si>
  <si>
    <t>В связи с колебаниями курса валют в расчёт внесена привязка на стоимость импортных бумаг и картонов от курса валют</t>
  </si>
  <si>
    <t>Дата</t>
  </si>
  <si>
    <t>Курс</t>
  </si>
  <si>
    <t>доллар</t>
  </si>
  <si>
    <t>Текущий</t>
  </si>
  <si>
    <t>долар</t>
  </si>
  <si>
    <t>Базовый</t>
  </si>
  <si>
    <t>Формат /тираж</t>
  </si>
  <si>
    <t>Евробуклет</t>
  </si>
  <si>
    <t>4+4</t>
  </si>
  <si>
    <t>А3 (297х420)</t>
  </si>
  <si>
    <t>4+0</t>
  </si>
  <si>
    <t>А4 (210х297)</t>
  </si>
  <si>
    <t>А5 (148х210)</t>
  </si>
  <si>
    <t>А6 (105х148)</t>
  </si>
  <si>
    <t>120х120 (CD)</t>
  </si>
  <si>
    <t>210х98</t>
  </si>
  <si>
    <t>150х70</t>
  </si>
  <si>
    <t>100х70</t>
  </si>
  <si>
    <t>2 фальца</t>
  </si>
  <si>
    <t>Скругление</t>
  </si>
  <si>
    <t>Сверление,</t>
  </si>
  <si>
    <t>120х120 (для CD)</t>
  </si>
  <si>
    <t>1 фальц</t>
  </si>
  <si>
    <t>1 биговка</t>
  </si>
  <si>
    <t>2 биговки</t>
  </si>
  <si>
    <t>Перфорация (1 линия),</t>
  </si>
  <si>
    <t>Формат / тираж</t>
  </si>
  <si>
    <t>Визитная карточка</t>
  </si>
  <si>
    <t>Карманный календарик</t>
  </si>
  <si>
    <t>Календарь "Домик"</t>
  </si>
  <si>
    <t>1 биговка*</t>
  </si>
  <si>
    <t>форматы до 70х100 мм*</t>
  </si>
  <si>
    <t>А6 (105х148)*</t>
  </si>
  <si>
    <t>А5 (148х210)*</t>
  </si>
  <si>
    <t>А4 (210х297)*</t>
  </si>
  <si>
    <t>односторонний*</t>
  </si>
  <si>
    <t>Наценки офсет</t>
  </si>
  <si>
    <t>Округление</t>
  </si>
  <si>
    <t>Глянцевыйламинат двусторонний,</t>
  </si>
  <si>
    <t>Глянцевыйламинат двусторонний</t>
  </si>
  <si>
    <t>Глянцевыйламинат</t>
  </si>
  <si>
    <t>Сверление</t>
  </si>
  <si>
    <t>Стороны печати</t>
  </si>
  <si>
    <t>ОФСЕТНАЯ ПЕЧАТЬ</t>
  </si>
  <si>
    <t>ЦИФРОВАЯ ПЕЧАТЬ</t>
  </si>
  <si>
    <t>Виды рам:</t>
  </si>
  <si>
    <t>Тонер ризографа</t>
  </si>
  <si>
    <t>Мастер-плёнка</t>
  </si>
  <si>
    <t>Мастер-копия</t>
  </si>
  <si>
    <t>кол-во кадров</t>
  </si>
  <si>
    <t>Стоимость кдра</t>
  </si>
  <si>
    <t>Мл.</t>
  </si>
  <si>
    <t>Кол-во мл.</t>
  </si>
  <si>
    <t>Ресурс тонера, оттисков</t>
  </si>
  <si>
    <t>Оптимальное заполнение</t>
  </si>
  <si>
    <t>Реальное заполнение</t>
  </si>
  <si>
    <t>Расход краски на лист</t>
  </si>
  <si>
    <t>Печать копии</t>
  </si>
  <si>
    <t>Печать мастер-копии</t>
  </si>
  <si>
    <t>Постерная бумага 150г/м2</t>
  </si>
  <si>
    <t>Фото бумага 200г/м2</t>
  </si>
  <si>
    <t>В рублях</t>
  </si>
  <si>
    <t>Вторая Сторона</t>
  </si>
  <si>
    <t>Ризография</t>
  </si>
  <si>
    <t>1+0</t>
  </si>
  <si>
    <t>1+1</t>
  </si>
  <si>
    <t>Настройки ризографии</t>
  </si>
  <si>
    <t>Резка от цены</t>
  </si>
  <si>
    <t>%</t>
  </si>
  <si>
    <t>Резка 2 и далее</t>
  </si>
  <si>
    <t>Всего резки</t>
  </si>
  <si>
    <t>РИЗОГРАФИЯ</t>
  </si>
  <si>
    <t>13 января 2015</t>
  </si>
  <si>
    <t>14 января 2015</t>
  </si>
  <si>
    <t>Добавлен расчет офсетной печати.</t>
  </si>
  <si>
    <t>Добавлены штендеры. Расчет изготовления штендера под ключ.</t>
  </si>
  <si>
    <t>Добавлена возможность расчета услуг накатки на пластик</t>
  </si>
  <si>
    <t>Добавлена возможность расчета тиражей в широкоформатной печати</t>
  </si>
  <si>
    <t>Светло-серый</t>
  </si>
  <si>
    <t>Добавлен расчет ризографии</t>
  </si>
  <si>
    <t>Магнитный слой</t>
  </si>
  <si>
    <t>Толщина магнита</t>
  </si>
  <si>
    <t>Магнит</t>
  </si>
  <si>
    <t>с клеем</t>
  </si>
  <si>
    <t>0,7 мм.</t>
  </si>
  <si>
    <t>0,4 мм.</t>
  </si>
  <si>
    <t>Автовизитки</t>
  </si>
  <si>
    <t>Баннеры</t>
  </si>
  <si>
    <t xml:space="preserve">Бейджи </t>
  </si>
  <si>
    <t>Бирки</t>
  </si>
  <si>
    <t>Бланки</t>
  </si>
  <si>
    <t>Буклеты</t>
  </si>
  <si>
    <t xml:space="preserve">Визитки </t>
  </si>
  <si>
    <t>Вывески несветовые</t>
  </si>
  <si>
    <t>Дизайнерская бумага</t>
  </si>
  <si>
    <t xml:space="preserve">Листовки </t>
  </si>
  <si>
    <t>Магниты</t>
  </si>
  <si>
    <t>Наклейки</t>
  </si>
  <si>
    <t>Объявления</t>
  </si>
  <si>
    <t>Открытки</t>
  </si>
  <si>
    <t>Офсетная печать</t>
  </si>
  <si>
    <t>Постеры</t>
  </si>
  <si>
    <t>Прайсы</t>
  </si>
  <si>
    <t>Презентации</t>
  </si>
  <si>
    <t>Приглашения</t>
  </si>
  <si>
    <t>Самоклейка</t>
  </si>
  <si>
    <t>Флаеры</t>
  </si>
  <si>
    <t>Фотографии</t>
  </si>
  <si>
    <t>Широкоформатная печать</t>
  </si>
  <si>
    <t>Штендер</t>
  </si>
  <si>
    <t>Карманный календарь</t>
  </si>
  <si>
    <t>обратно в меню</t>
  </si>
  <si>
    <t>Новинки расчета</t>
  </si>
  <si>
    <t>Изделия из пластика</t>
  </si>
  <si>
    <t>Темно-синяя</t>
  </si>
  <si>
    <t>бордовая</t>
  </si>
  <si>
    <t>темно-зеленая</t>
  </si>
  <si>
    <t>алюминий</t>
  </si>
  <si>
    <t>графит</t>
  </si>
  <si>
    <t>Толщина переплёта</t>
  </si>
  <si>
    <t>Толщина обложки</t>
  </si>
  <si>
    <t>Обложки для термопереплёта твёрдые</t>
  </si>
  <si>
    <t>Пластиковые пружины</t>
  </si>
  <si>
    <t>Диаметр</t>
  </si>
  <si>
    <t>Листов</t>
  </si>
  <si>
    <t>Металлические пружины</t>
  </si>
  <si>
    <t>Термопереплёт (твёрдая обложка)</t>
  </si>
  <si>
    <t>Выбирете цвет</t>
  </si>
  <si>
    <t>Работа сотрудника</t>
  </si>
  <si>
    <t>Белые</t>
  </si>
  <si>
    <t>Синие</t>
  </si>
  <si>
    <t>Зелёные</t>
  </si>
  <si>
    <t>Жёлтые</t>
  </si>
  <si>
    <t>Красные</t>
  </si>
  <si>
    <t>Чёрные</t>
  </si>
  <si>
    <t>Твёрдая обложка</t>
  </si>
  <si>
    <t>Лён ламинация 50 мкр.</t>
  </si>
  <si>
    <t>Тач ламинация 35 мкр.</t>
  </si>
  <si>
    <t>Зеркальная плёнка 30 мкр.</t>
  </si>
  <si>
    <t xml:space="preserve">31 марта 2015 </t>
  </si>
  <si>
    <t>В расчёт типографии добавлены новые виды ламинации, "лён", тач, и зеркало. Данные виды ламинации доступны для цифровой печати. Вкладка печать</t>
  </si>
  <si>
    <t>Шаг 2. - Выберите интересующий Вас вид продукции.</t>
  </si>
  <si>
    <t>Шаг 3. - Заполняя форму подберите для себя вид печати, формат тираж и стоимость.</t>
  </si>
  <si>
    <t>Шаг 4. - Если при работе с формой возникают сложности, рекомендуется позвонить менеджерам и уточнить стоимость.</t>
  </si>
  <si>
    <t>Типография "РЕНОМЕ"</t>
  </si>
  <si>
    <t>г.Одинцово, ул. Северная 62А, оф 33</t>
  </si>
  <si>
    <t>Тел.: +7(495) 597-4004</t>
  </si>
  <si>
    <t>calc@re-odin.ru</t>
  </si>
  <si>
    <t xml:space="preserve"> Почтовый адрес для пожеланий и предложений по работе с расчетом стоимости продукции</t>
  </si>
  <si>
    <t>KAN-3-A5-V (30)</t>
  </si>
  <si>
    <t>Карман плоский горизон. А5</t>
  </si>
  <si>
    <t>Карман плоский горизон.А4</t>
  </si>
  <si>
    <t xml:space="preserve">Карман плоский вертикал. А3 </t>
  </si>
  <si>
    <t>Карман плоский горизон.А3</t>
  </si>
  <si>
    <t>PLU-A5-G</t>
  </si>
  <si>
    <t>PLU-A4-G</t>
  </si>
  <si>
    <t>PLU-A3-V</t>
  </si>
  <si>
    <t>PLU-A3-G</t>
  </si>
  <si>
    <t>1 лист</t>
  </si>
  <si>
    <t xml:space="preserve">Наклейки </t>
  </si>
  <si>
    <t>IQ MONDI NEOPI</t>
  </si>
  <si>
    <t>IQ MONDI NEOGB</t>
  </si>
  <si>
    <t>IQ MONDI NEOOR</t>
  </si>
  <si>
    <t>(с защитной крышкой, размер клише 14х8 мм)</t>
  </si>
  <si>
    <t>(размер клише 26х9 мм)</t>
  </si>
  <si>
    <t>(размер клише 38х14 мм)</t>
  </si>
  <si>
    <t>(размер клише 47х18 мм)</t>
  </si>
  <si>
    <t>(размер клише 58х22 мм)</t>
  </si>
  <si>
    <t>(размер клише 70х25 мм)</t>
  </si>
  <si>
    <t>(размер клише 75х15 мм)</t>
  </si>
  <si>
    <t>(размер клише 82х25 мм)</t>
  </si>
  <si>
    <t>(размер клише 75х38 мм)</t>
  </si>
  <si>
    <t>(размер клише 60х40 мм)</t>
  </si>
  <si>
    <t>(размер клише 60х33 мм)</t>
  </si>
  <si>
    <t>(размер клише 50х30 мм)</t>
  </si>
  <si>
    <t>(размер клише 70х30 мм)</t>
  </si>
  <si>
    <t>(с защитной крышкой, размер клише Ø 19 мм)</t>
  </si>
  <si>
    <t>(с защитной крышкой, размер клише Ø 25 мм)</t>
  </si>
  <si>
    <t>(размер клише Ø 30 мм)</t>
  </si>
  <si>
    <t>(размер клише Ø 40 мм)</t>
  </si>
  <si>
    <t>(размер клише Ø 45 мм)</t>
  </si>
  <si>
    <t>(размер клише 55х35 мм)</t>
  </si>
  <si>
    <t>(размер клише 50х10 мм)</t>
  </si>
  <si>
    <t>(с защитной крышкой, размер клише 12х12 мм)</t>
  </si>
  <si>
    <t>(размер клише 20х20 мм)</t>
  </si>
  <si>
    <t>(размер клише 30х30 мм)</t>
  </si>
  <si>
    <t>(размер клише 40х40 мм)</t>
  </si>
  <si>
    <t>(размер клише 41х24 мм)</t>
  </si>
  <si>
    <t>(размер клише 49х28 мм)</t>
  </si>
  <si>
    <t>(размер клише 56х26 мм)</t>
  </si>
  <si>
    <t>(размер клише 56х33 мм)</t>
  </si>
  <si>
    <t>(размер клише 68х47 мм)</t>
  </si>
  <si>
    <t>(размер клише 85х55 мм)</t>
  </si>
  <si>
    <t>KAN-1-A4-V (13)</t>
  </si>
  <si>
    <t>Карман накопитель А5</t>
  </si>
  <si>
    <t>Карман накопитель Евро</t>
  </si>
  <si>
    <t>NAK-1-A5-V</t>
  </si>
  <si>
    <t>VIZ-2X-4</t>
  </si>
  <si>
    <t>20 июля 2015</t>
  </si>
  <si>
    <t>Глобальное снижение цен на доски информации, Изделия из пластика и доп. услуги</t>
  </si>
  <si>
    <t>7 июля 2015</t>
  </si>
  <si>
    <t>Добавлена функция ламинации для штендеров</t>
  </si>
  <si>
    <t>Ламинация поверхностей</t>
  </si>
  <si>
    <t>круглая</t>
  </si>
  <si>
    <t>прямоугольная</t>
  </si>
  <si>
    <t xml:space="preserve">Автоматическая оснастка </t>
  </si>
  <si>
    <t>Trodat Printy 3</t>
  </si>
  <si>
    <t>Trodat Printy</t>
  </si>
  <si>
    <t>Trodat Professional Line</t>
  </si>
  <si>
    <t>Тип оснастки</t>
  </si>
  <si>
    <t>Марка</t>
  </si>
  <si>
    <t>Модель</t>
  </si>
  <si>
    <t>Кр/пр</t>
  </si>
  <si>
    <t>Печати и штампы</t>
  </si>
  <si>
    <t>Длина, мм.</t>
  </si>
  <si>
    <t>Ширина, мм.</t>
  </si>
  <si>
    <t>Макет клише</t>
  </si>
  <si>
    <t>Количество макетов</t>
  </si>
  <si>
    <t>шаблон</t>
  </si>
  <si>
    <t>Остальные макеты клише</t>
  </si>
  <si>
    <t>Количество оснасток</t>
  </si>
  <si>
    <t>Окончательная стоимость</t>
  </si>
  <si>
    <t>Сумма</t>
  </si>
  <si>
    <t>1 клише</t>
  </si>
  <si>
    <t>2 клише</t>
  </si>
  <si>
    <t>Количество Клише</t>
  </si>
  <si>
    <t>Клише</t>
  </si>
  <si>
    <t>18 августа 2015</t>
  </si>
  <si>
    <t>Добавлен расчет печатей и штампов</t>
  </si>
  <si>
    <t>Скидка за опт</t>
  </si>
  <si>
    <t>Штампы и Печати</t>
  </si>
  <si>
    <t xml:space="preserve">Металлическая оснастка </t>
  </si>
  <si>
    <t>Таблетка</t>
  </si>
  <si>
    <t>Золотое кольцо</t>
  </si>
  <si>
    <t>Золотое кольцо двухсекционная</t>
  </si>
  <si>
    <t>Карманный Полуавтомат</t>
  </si>
  <si>
    <t>Техно</t>
  </si>
  <si>
    <t>Диско</t>
  </si>
  <si>
    <t>НЛО</t>
  </si>
  <si>
    <t>Чёрный лак</t>
  </si>
  <si>
    <t>Холст</t>
  </si>
  <si>
    <t>Обложка</t>
  </si>
  <si>
    <t>Пример:</t>
  </si>
  <si>
    <t>Толщина листа</t>
  </si>
  <si>
    <t>Количество страниц</t>
  </si>
  <si>
    <t>Цена за страницу</t>
  </si>
  <si>
    <t>Формат разворота</t>
  </si>
  <si>
    <t>Внутренняя</t>
  </si>
  <si>
    <t>Стоимость каталога</t>
  </si>
  <si>
    <t>Тираж каталога</t>
  </si>
  <si>
    <t>Цена за каталог</t>
  </si>
  <si>
    <t>Число разворотов</t>
  </si>
  <si>
    <t>Количество скоб</t>
  </si>
  <si>
    <t>1 ноября</t>
  </si>
  <si>
    <t>Добавлен расчёт каталогов на скобу</t>
  </si>
  <si>
    <t>Каталоги на скобу</t>
  </si>
  <si>
    <t>DNS</t>
  </si>
  <si>
    <t>Arconvert (метал)</t>
  </si>
  <si>
    <t>Рамка фото</t>
  </si>
  <si>
    <t>бежевая</t>
  </si>
  <si>
    <t>А4</t>
  </si>
  <si>
    <t>фоторамка</t>
  </si>
  <si>
    <t>серебро</t>
  </si>
  <si>
    <t>Dorothy золотая</t>
  </si>
  <si>
    <t>клип</t>
  </si>
  <si>
    <t>А3</t>
  </si>
  <si>
    <t>старое золото</t>
  </si>
  <si>
    <t>старое серебро</t>
  </si>
  <si>
    <t>А5</t>
  </si>
  <si>
    <t>А6</t>
  </si>
  <si>
    <t>навесной</t>
  </si>
  <si>
    <t>Фоторамки</t>
  </si>
  <si>
    <t>17декабря</t>
  </si>
  <si>
    <t>Добавлены фоторамки для фотографий и табличек</t>
  </si>
  <si>
    <t>Наименование услуги</t>
  </si>
  <si>
    <t>Дизайн простого текстового макета</t>
  </si>
  <si>
    <t>Дизайн визитки с образца</t>
  </si>
  <si>
    <t>Буклет</t>
  </si>
  <si>
    <t>Фирменный бланк</t>
  </si>
  <si>
    <r>
      <t xml:space="preserve">Верстка готового макета листовки, буклета, календаря </t>
    </r>
    <r>
      <rPr>
        <i/>
        <sz val="10"/>
        <color theme="1"/>
        <rFont val="Arial"/>
        <family val="2"/>
        <charset val="204"/>
      </rPr>
      <t xml:space="preserve"> (цена указана за полосу)</t>
    </r>
  </si>
  <si>
    <t>ВНЕСЕНИЕ КОРРЕКТИРОВОК В ПРОЦЕССЕ РАБОТЫ</t>
  </si>
  <si>
    <t>Набор текста (не более 200 знаков)</t>
  </si>
  <si>
    <t>Набор текста (не более 1000 знаков)</t>
  </si>
  <si>
    <t>Набор текста (рукописный / иностранный / таблицы, не более 1000 знаков)</t>
  </si>
  <si>
    <t>Поиск / подбор фото/иллюстраций (база типографии) цена указана за 1 штуку</t>
  </si>
  <si>
    <t>Поиск / подбор фото/иллюстраций (интернет) цена указана за 1 штуку</t>
  </si>
  <si>
    <t>Поиск / подбор фото/иллюстраций (сложные изображения) цена указана за 1 штуку</t>
  </si>
  <si>
    <t>Обработка картинок под печать цена указана за 1 штуку</t>
  </si>
  <si>
    <t>Обтравка, ретушь фото/иллюстраций (простая) цена указана за 1 штуку</t>
  </si>
  <si>
    <t>Обтравка, ретушь фото/иллюстраций (средняя) цена указана за 1 штуку</t>
  </si>
  <si>
    <t>Обтравка, ретушь фото/иллюстраций (сложная) цена указана за 1 штуку</t>
  </si>
  <si>
    <t>Нанесение копирайта (надписи на фото/иллюстрацию) цена указана за 1 штуку</t>
  </si>
  <si>
    <t>Подбор шрифтов (база типографии) цена указана за 1 штуку</t>
  </si>
  <si>
    <t>Подбор шрифтов (интернет) цена указана за 1 штуку</t>
  </si>
  <si>
    <t>Работа с дизайнером цена указана за 1 час</t>
  </si>
  <si>
    <t>ДОПОЛНИТЕЛЬНЫЕ УСЛУГИ</t>
  </si>
  <si>
    <t>Цена/ед</t>
  </si>
  <si>
    <t>Дизайн макет</t>
  </si>
  <si>
    <t>настроить</t>
  </si>
  <si>
    <t>Дизайн-просто</t>
  </si>
  <si>
    <t>Дизайн-средне</t>
  </si>
  <si>
    <t>Дизайн-сложно</t>
  </si>
  <si>
    <t>Прайс, таблицы (простой)</t>
  </si>
  <si>
    <t>Отрисовка схем проезда (простой)</t>
  </si>
  <si>
    <t>Отрисовка схем зданий, сооружений (простой)</t>
  </si>
  <si>
    <t>Прайс, таблицы  (средний)</t>
  </si>
  <si>
    <t>Отрисовка схем проезда (средний)</t>
  </si>
  <si>
    <t>Отрисовка схем зданий, сооружений (средний)</t>
  </si>
  <si>
    <t>Прайс, таблицы  (сложный)</t>
  </si>
  <si>
    <t>Отрисовка схем проезда (сложный)</t>
  </si>
  <si>
    <t>Отрисовка схем зданий, сооружений (сложный)</t>
  </si>
  <si>
    <t>В том числе, стоимость дополнительных услуг</t>
  </si>
  <si>
    <t>Логотип - отрисовка по эскизу заказчика  (простой)</t>
  </si>
  <si>
    <t>Логотип - разработка (простой)</t>
  </si>
  <si>
    <t>Клише для штампа (печати) (простой)</t>
  </si>
  <si>
    <t>Клише для тиснения (простой)</t>
  </si>
  <si>
    <t>Логотип - отрисовка по эскизу заказчика (средний)</t>
  </si>
  <si>
    <t>Логотип - разработка (средний)</t>
  </si>
  <si>
    <t>Клише для тиснения (средний)</t>
  </si>
  <si>
    <t>Логотип - отрисовка по эскизу заказчика (сложный)</t>
  </si>
  <si>
    <t>Логотип - разработка (сложный)</t>
  </si>
  <si>
    <t>Клише для штампа (печати) (сложный)</t>
  </si>
  <si>
    <t>Клише для тиснения (сложный)</t>
  </si>
  <si>
    <t>23 марта 2016</t>
  </si>
  <si>
    <t>Услуги дизайна макетов</t>
  </si>
  <si>
    <t>Добавлен расчет дизайна макетов для цифровой печати</t>
  </si>
  <si>
    <t>Дизайн-макет</t>
  </si>
  <si>
    <t>Цена в долларах</t>
  </si>
  <si>
    <t>простой дизайн</t>
  </si>
  <si>
    <t>Сложный дизайн</t>
  </si>
  <si>
    <t>Срочность</t>
  </si>
  <si>
    <t>Стандарт 1 раб. День</t>
  </si>
  <si>
    <t>Экспресс 1 час</t>
  </si>
  <si>
    <t>стандарт</t>
  </si>
  <si>
    <t>экспресс</t>
  </si>
  <si>
    <t>функция</t>
  </si>
  <si>
    <t>Ставка</t>
  </si>
  <si>
    <t>Стоимость плёнки</t>
  </si>
  <si>
    <t>100 мкр. Глянец</t>
  </si>
  <si>
    <t>Стандарт</t>
  </si>
  <si>
    <t>Без резки - Скидка 10%</t>
  </si>
  <si>
    <t>Декоративный термометр</t>
  </si>
  <si>
    <t>аксессуар</t>
  </si>
  <si>
    <t>4,5*1,5 см</t>
  </si>
  <si>
    <t>Заготовка акрилового магнита</t>
  </si>
  <si>
    <t>магнит</t>
  </si>
  <si>
    <t>на выбор</t>
  </si>
  <si>
    <t>различные цвета</t>
  </si>
  <si>
    <t>5,2*7,2 см.</t>
  </si>
  <si>
    <t>6,5*6,5 см.</t>
  </si>
  <si>
    <t>10*10 см.</t>
  </si>
  <si>
    <t>Часы на магните</t>
  </si>
  <si>
    <t>Ø 10 cм.</t>
  </si>
  <si>
    <t>прозрачный</t>
  </si>
  <si>
    <t>прозрачный + золото</t>
  </si>
  <si>
    <t>Добавлены заготовки для акриловых магнитов</t>
  </si>
  <si>
    <t>17 мая 2016</t>
  </si>
  <si>
    <t>Меловая поверхность</t>
  </si>
  <si>
    <t>меловые доски</t>
  </si>
  <si>
    <t>Пленка "меловая поверхность", п.м.</t>
  </si>
  <si>
    <t>1,25*кол-во п.м.</t>
  </si>
  <si>
    <t>23 мая 2016</t>
  </si>
  <si>
    <t>Добавлена меловая поверхность</t>
  </si>
  <si>
    <t>справка</t>
  </si>
  <si>
    <t>PLU-A5-V</t>
  </si>
  <si>
    <t>4 июля 2016</t>
  </si>
  <si>
    <t>Новинка! Акриловый карман для информационных досок. Размер - А5. Вместимость - 1 лист</t>
  </si>
  <si>
    <t>Карман плоский вертикальный. А5</t>
  </si>
  <si>
    <t>интенсивно-зеленая</t>
  </si>
  <si>
    <t>IQ MONDI MA42</t>
  </si>
  <si>
    <t>Диаметр, мм</t>
  </si>
  <si>
    <t>Толщина переплёта,</t>
  </si>
  <si>
    <t xml:space="preserve">Кол-во в упаковке </t>
  </si>
  <si>
    <t xml:space="preserve">лист 70- 80 г/м2 </t>
  </si>
  <si>
    <t>тираж</t>
  </si>
  <si>
    <t>Толщина</t>
  </si>
  <si>
    <t>Ножка для воблера</t>
  </si>
  <si>
    <t>A6</t>
  </si>
  <si>
    <t>2 лист</t>
  </si>
  <si>
    <t>Ножки воблера</t>
  </si>
  <si>
    <t xml:space="preserve"> на болт</t>
  </si>
  <si>
    <t>на метал. пружину</t>
  </si>
  <si>
    <t>на пластик пружину</t>
  </si>
  <si>
    <t>термопереплёт</t>
  </si>
  <si>
    <t>Переплет:</t>
  </si>
  <si>
    <t>Новинка! Ножки для воблера</t>
  </si>
  <si>
    <t>В расчете печати</t>
  </si>
  <si>
    <t>Посчитать отдельно</t>
  </si>
  <si>
    <t>Начало работы с расчетом</t>
  </si>
  <si>
    <t>11 октября 2016</t>
  </si>
  <si>
    <t>В раздел Цифровая печать добавлена возможность добавить цены "Сумма заказа" из раздела Изделия из пластика. Цена за тираж покажет общую сумму.</t>
  </si>
  <si>
    <t>Наличие</t>
  </si>
  <si>
    <t>Цена ед</t>
  </si>
  <si>
    <t>бронза</t>
  </si>
  <si>
    <t>желтые</t>
  </si>
  <si>
    <t>объём</t>
  </si>
  <si>
    <t>297х420 (А3)</t>
  </si>
  <si>
    <t>210х297 (А4)</t>
  </si>
  <si>
    <t>Выбор Металлические пружины</t>
  </si>
  <si>
    <t>Переплёт на болт</t>
  </si>
  <si>
    <t xml:space="preserve">Количество болтов </t>
  </si>
  <si>
    <t>Количество болтов</t>
  </si>
  <si>
    <t>Переплёт на пружину или болт</t>
  </si>
  <si>
    <t>25 октября 2016</t>
  </si>
  <si>
    <t>В раздел Цифровая печать добавлены различные виды переплёта</t>
  </si>
  <si>
    <t>обложки</t>
  </si>
  <si>
    <t xml:space="preserve">Толщина, мм: </t>
  </si>
  <si>
    <t xml:space="preserve">Формат: </t>
  </si>
  <si>
    <t xml:space="preserve">Цвет: </t>
  </si>
  <si>
    <t>Прозрачность:</t>
  </si>
  <si>
    <t xml:space="preserve">Кол-во в уп., шт: </t>
  </si>
  <si>
    <t xml:space="preserve">артикул: </t>
  </si>
  <si>
    <t>Фактура:</t>
  </si>
  <si>
    <t xml:space="preserve">0.30 </t>
  </si>
  <si>
    <t xml:space="preserve">А4 </t>
  </si>
  <si>
    <t xml:space="preserve">желтый </t>
  </si>
  <si>
    <t>непрозрачные</t>
  </si>
  <si>
    <t>гладкие</t>
  </si>
  <si>
    <t>Обложки ПВХ прозрачные, 0.15мм, А4, б/цв</t>
  </si>
  <si>
    <t xml:space="preserve">0.15 </t>
  </si>
  <si>
    <t xml:space="preserve">б/цв </t>
  </si>
  <si>
    <t>прозрачные</t>
  </si>
  <si>
    <t xml:space="preserve">0.35 </t>
  </si>
  <si>
    <t xml:space="preserve">рифленые </t>
  </si>
  <si>
    <t xml:space="preserve">0.40 </t>
  </si>
  <si>
    <t xml:space="preserve">дымчатый </t>
  </si>
  <si>
    <t xml:space="preserve">зеленый </t>
  </si>
  <si>
    <t xml:space="preserve">красный </t>
  </si>
  <si>
    <t xml:space="preserve">розовый </t>
  </si>
  <si>
    <t xml:space="preserve">синий </t>
  </si>
  <si>
    <t xml:space="preserve">белый </t>
  </si>
  <si>
    <t xml:space="preserve">черный </t>
  </si>
  <si>
    <t xml:space="preserve">серый </t>
  </si>
  <si>
    <t>Обложки ПВХ прозрачные, 0.18мм, А4, б/цв</t>
  </si>
  <si>
    <t xml:space="preserve">0.18 </t>
  </si>
  <si>
    <t xml:space="preserve">полипропилен </t>
  </si>
  <si>
    <t>0.40</t>
  </si>
  <si>
    <t xml:space="preserve">дымчатые </t>
  </si>
  <si>
    <t xml:space="preserve">матовые </t>
  </si>
  <si>
    <t xml:space="preserve">A4 </t>
  </si>
  <si>
    <t>Обложки ПВХ прозрачные, 0.18мм, А4, синий</t>
  </si>
  <si>
    <t>Обложки ПВХ прозрачные, 0.18мм, А4, зеленый</t>
  </si>
  <si>
    <t>Обложки ПВХ прозрачные, 0.18мм, А4, красный</t>
  </si>
  <si>
    <t>Обложки ПВХ прозрачные, 0.18мм, А4, коричневый</t>
  </si>
  <si>
    <t xml:space="preserve">коричневый </t>
  </si>
  <si>
    <t>Обложки ПВХ прозрачные, 0.18мм, А4, дымчатый</t>
  </si>
  <si>
    <t>Обложки ПВХ прозрачные, 0.18мм, А4, желтый</t>
  </si>
  <si>
    <t>Обложки ПВХ прозрачные, 0.20мм, А4, б/цв</t>
  </si>
  <si>
    <t xml:space="preserve">0.20 </t>
  </si>
  <si>
    <t>Обложки ПВХ прозрачные, 0.18мм, А4, б/цв, матовые</t>
  </si>
  <si>
    <t>Обложки ПВХ прозрачные, 0.20мм, А4, желтый</t>
  </si>
  <si>
    <t>Обложки ПВХ прозрачные, 0.20мм, А4, зеленый</t>
  </si>
  <si>
    <t>Обложки ПВХ прозрачные, 0.20мм, А4, коричневый</t>
  </si>
  <si>
    <t>Обложки ПВХ прозрачные, 0.20мм, А4, красный</t>
  </si>
  <si>
    <t>Обложки ПВХ прозрачные, 0.20мм, А4, синий</t>
  </si>
  <si>
    <t>Обложки ПВХ прозрачные, 0.20мм, А4, дымчатый</t>
  </si>
  <si>
    <t>Обложки ПВХ прозрачные, 0.18мм, А4, б/цв, "кожа"</t>
  </si>
  <si>
    <t xml:space="preserve">"кожа" </t>
  </si>
  <si>
    <t>Обложки ПВХ прозрачные, 0.18мм, А4, дымчатый, "кожа"</t>
  </si>
  <si>
    <t>Обложки ПВХ прозрачные, 0.18мм, А4, желтый, "кожа"</t>
  </si>
  <si>
    <t>Обложки ПВХ прозрачные, 0.18мм, А4, зеленый, "кожа"</t>
  </si>
  <si>
    <t>Обложки ПВХ прозрачные, 0.18мм, А4, красный, "кожа"</t>
  </si>
  <si>
    <t>Обложки ПВХ прозрачные, 0.18мм, А4, синий, "кожа"</t>
  </si>
  <si>
    <t>Обложки ПВХ прозрачные, 0.18мм, А4, б/цв, "кристалл"</t>
  </si>
  <si>
    <t xml:space="preserve">"кристалл" </t>
  </si>
  <si>
    <t>Обложки ПВХ прозрачные, 0.18мм, А4, вишневый, "кристалл"</t>
  </si>
  <si>
    <t xml:space="preserve">вишневый </t>
  </si>
  <si>
    <t>Обложки ПВХ прозрачные, 0.18мм, А4, дымчатый, "кристалл"</t>
  </si>
  <si>
    <t>Обложки ПВХ прозрачные, 0.18мм, А4, желтый, "кристалл"</t>
  </si>
  <si>
    <t>Обложки ПВХ прозрачные, 0.18мм, А4, зеленый, "кристалл"</t>
  </si>
  <si>
    <t>Обложки ПВХ прозрачные, 0.18мм, А4, коричневый, "кристалл"</t>
  </si>
  <si>
    <t>Обложки ПВХ прозрачные, 0.18мм, А4, синий, "кристалл"</t>
  </si>
  <si>
    <t>Обложки ПВХ прозрачные, 0.18мм, А4, красный, "кристалл"</t>
  </si>
  <si>
    <t>Обложки ПВХ прозрачные, 0.18мм, А4, оранжевый, "кристалл"</t>
  </si>
  <si>
    <t xml:space="preserve">оранжевый </t>
  </si>
  <si>
    <t>Обложки ПВХ прозрачные, 0.25мм, А4, б/цв</t>
  </si>
  <si>
    <t xml:space="preserve">0.25 </t>
  </si>
  <si>
    <t>Обложки ПВХ прозрачные, 0.30мм, А4, б/цв</t>
  </si>
  <si>
    <t>Обложки ПВХ прозрачные, 0.15мм, А3, б/цв</t>
  </si>
  <si>
    <t xml:space="preserve">А3 </t>
  </si>
  <si>
    <t>Обложки ПВХ прозрачные, 0.18мм, А3, бесцветный</t>
  </si>
  <si>
    <t xml:space="preserve">бесцветный </t>
  </si>
  <si>
    <t>Обложки ПВХ прозрачные, 0.20мм, А3, б/цв</t>
  </si>
  <si>
    <t>Обложки ПВХ прозрачные, 0.18мм, А3, желтый</t>
  </si>
  <si>
    <t>Обложки ПВХ прозрачные, 0.18мм, А3, дымчатый</t>
  </si>
  <si>
    <t>Обложки ПВХ прозрачные, 0.18мм, А3, зеленый</t>
  </si>
  <si>
    <t>Обложки ПВХ прозрачные, 0.18мм, А3, красный</t>
  </si>
  <si>
    <t>Обложки ПВХ прозрачные, 0.18мм, А3, синий</t>
  </si>
  <si>
    <t>Обложки ПВХ прозрачные, 0.18мм, А3, коричневый</t>
  </si>
  <si>
    <t>Обложки ПВХ прозрачные, 0.20мм, А3, синий</t>
  </si>
  <si>
    <t>Обложки ПВХ прозрачные, 0.20мм, А3, дымчатый</t>
  </si>
  <si>
    <t>Обложки ПВХ прозрачные, 0.20мм, А3, желтый</t>
  </si>
  <si>
    <t>Обложки ПВХ прозрачные, 0.20мм, А3, зеленый</t>
  </si>
  <si>
    <t>Обложки ПВХ прозрачные, 0.20мм, А3, коричневый</t>
  </si>
  <si>
    <t>Обложки ПВХ прозрачные, 0.20мм, А3, красный</t>
  </si>
  <si>
    <t>Обложки ПВХ прозрачные, 0.25мм, А3, бесцветный</t>
  </si>
  <si>
    <t xml:space="preserve">б\цв </t>
  </si>
  <si>
    <t>Обложки ПВХ прозрачные, 0.30мм, А3, б/цв</t>
  </si>
  <si>
    <t>К</t>
  </si>
  <si>
    <t>Обложки П.П. непрозрачные, 0.30мм, А4, желтый</t>
  </si>
  <si>
    <t>Обложки П.П. прозрачные рифленые, 0.35мм, А4, желтый</t>
  </si>
  <si>
    <t>Обложки П.П. прозрачные рифленые, 0.40мм, А4, б/цв</t>
  </si>
  <si>
    <t>Обложки П.П. прозрачные рифленые, 0.40мм, А4, дымчатый</t>
  </si>
  <si>
    <t>Обложки П.П. прозрачные рифленые, 0.40мм, А4, желтый</t>
  </si>
  <si>
    <t>Обложки П.П. прозрачные рифленые, 0.40мм, А4, зеленый</t>
  </si>
  <si>
    <t>Обложки П.П. прозрачные рифленые, 0.40мм, А4, красный</t>
  </si>
  <si>
    <t>Обложки П.П. прозрачные рифленые, 0.40мм, А4, розовый</t>
  </si>
  <si>
    <t>Обложки П.П. прозрачные рифленые, 0.40мм, А4, синий</t>
  </si>
  <si>
    <t>Обложки П.П. непрозрачные, 0.40мм, А4, белый</t>
  </si>
  <si>
    <t>Обложки П.П. непрозрачные, 0.40мм, А4, желтый</t>
  </si>
  <si>
    <t>Обложки П.П. непрозрачные, 0.40мм, А4, зеленый</t>
  </si>
  <si>
    <t>Обложки П.П. непрозрачные, 0.40мм, А4, красный</t>
  </si>
  <si>
    <t>Обложки П.П. непрозрачные, 0.40мм, А4, синий</t>
  </si>
  <si>
    <t>Обложки П.П. непрозрачные, 0.40мм, А4, черный</t>
  </si>
  <si>
    <t>Обложки П.П. непрозрачные, 0.40мм, А4, серый</t>
  </si>
  <si>
    <t>Обложки П.П. прозрачные матовые, 0.40мм, А4, б/цв</t>
  </si>
  <si>
    <t>Обложки П.П. прозрачные матовые, 0.40мм, А4, зеленый</t>
  </si>
  <si>
    <t>Обложки П.П. прозрачные матовые, 0.40мм, А4, розовый</t>
  </si>
  <si>
    <t>Обложки П.П. прозрачные матовые, 0.40мм, А4, синий</t>
  </si>
  <si>
    <t>Обложки П.П. прозрачные матовые, 0.40мм, А4, дымчатые</t>
  </si>
  <si>
    <t>Обложки П.П. прозрачные матовые, 0.40мм, А4, желтый</t>
  </si>
  <si>
    <t>кол. обложек</t>
  </si>
  <si>
    <t>конверт</t>
  </si>
  <si>
    <t>Конверт Евро</t>
  </si>
  <si>
    <t>Конверт А5</t>
  </si>
  <si>
    <t>Конферт А6</t>
  </si>
  <si>
    <t>Доп.вставка</t>
  </si>
  <si>
    <t>Переплет</t>
  </si>
  <si>
    <t>коэфициенты</t>
  </si>
  <si>
    <t>значение</t>
  </si>
  <si>
    <t>№ бумаги</t>
  </si>
  <si>
    <t>количество</t>
  </si>
  <si>
    <t>Вставка:</t>
  </si>
  <si>
    <t>Стоимость Переплета</t>
  </si>
  <si>
    <t>15 декабря</t>
  </si>
  <si>
    <t>В раздел Цифровая печать добавлены вставки в переплет, теперь Вы сможете не только прошить Вашу работу но и оформить её в презентабельный вид</t>
  </si>
  <si>
    <t>Экспресс-печать</t>
  </si>
  <si>
    <t>Настройки экспресс-печати</t>
  </si>
  <si>
    <t>Площадь, мм.</t>
  </si>
  <si>
    <t>Вес нетто, кг</t>
  </si>
  <si>
    <t>Скидка офсет цена тираж</t>
  </si>
  <si>
    <t>2+0</t>
  </si>
  <si>
    <t>3+0</t>
  </si>
  <si>
    <t>2+1</t>
  </si>
  <si>
    <t>2+2</t>
  </si>
  <si>
    <t>3+1</t>
  </si>
  <si>
    <t>3+2</t>
  </si>
  <si>
    <t>3+3</t>
  </si>
  <si>
    <t>Детализация печати</t>
  </si>
  <si>
    <t>4 мая 2017</t>
  </si>
  <si>
    <t>В раздел Цифровая печать добавлен Расчет детализации печати текста для нумерации, или печати имен в Приглашения и пр.</t>
  </si>
  <si>
    <t>Магний 2 мм травление</t>
  </si>
  <si>
    <t>Магний 4 мм травление</t>
  </si>
  <si>
    <t>Магний 6,35 мм травление</t>
  </si>
  <si>
    <t>Магний 7 мм травление</t>
  </si>
  <si>
    <t>Медь 6,35 мм</t>
  </si>
  <si>
    <t>Медь 7 мм</t>
  </si>
  <si>
    <t>Латунь 6,35 мм гравировка</t>
  </si>
  <si>
    <t>Латунь 7 мм гравировка</t>
  </si>
  <si>
    <t>Магний 4 мм гравировка</t>
  </si>
  <si>
    <t>Магний 6,35 мм гравировка</t>
  </si>
  <si>
    <t>Магний 7 мм гравировка</t>
  </si>
  <si>
    <t>до 100 кв см единая стоимость 551 руб</t>
  </si>
  <si>
    <t>до 80 кв см единая стоимость 925 руб</t>
  </si>
  <si>
    <t>до 70 кв см единая стоимость 1024 руб</t>
  </si>
  <si>
    <t>до 80 кв см единая стоимость 1035 руб</t>
  </si>
  <si>
    <t>до 80 кв см единая стоимость 1600 руб</t>
  </si>
  <si>
    <t>до 70 кв см единая стоимость 1450 руб</t>
  </si>
  <si>
    <t>до 70 кв см единая стоимость 815 руб</t>
  </si>
  <si>
    <t>до 70 кв см единая стоимость 950 руб</t>
  </si>
  <si>
    <t>25 июля 2017</t>
  </si>
  <si>
    <t>Теперь переплёт на металлическую пружину доступен до 280 листов. Цены уже доступны для расчета в разделе цифровая печать</t>
  </si>
  <si>
    <t>Colop</t>
  </si>
  <si>
    <t>R-40</t>
  </si>
  <si>
    <t>R-30</t>
  </si>
  <si>
    <t>T45</t>
  </si>
  <si>
    <t>(размер клише 45х45х45 мм)</t>
  </si>
  <si>
    <t>треугольная</t>
  </si>
  <si>
    <t>18 сентября 2017</t>
  </si>
  <si>
    <t>Новые треугольные оснастки для печатей Colop доступны для заказа.</t>
  </si>
  <si>
    <t>Тетрадный блок</t>
  </si>
  <si>
    <t>25 сентября 2017</t>
  </si>
  <si>
    <t>Добавлен расчет тетрадей</t>
  </si>
  <si>
    <t>Количество блоков</t>
  </si>
  <si>
    <t>Количество вставок</t>
  </si>
  <si>
    <t>цветной</t>
  </si>
  <si>
    <t>блок</t>
  </si>
  <si>
    <t>Количество в блоке</t>
  </si>
  <si>
    <t>c</t>
  </si>
  <si>
    <t>Ritrama</t>
  </si>
  <si>
    <t>крафт</t>
  </si>
  <si>
    <t>0,9 мм.</t>
  </si>
  <si>
    <t>1,5 мм.</t>
  </si>
  <si>
    <t>Ст.A4</t>
  </si>
  <si>
    <t>Шлифовка края</t>
  </si>
  <si>
    <t>Загиб плёнки для накатки</t>
  </si>
  <si>
    <t>29 января 2018</t>
  </si>
  <si>
    <t>Новинка! Магнитный Винил толщиной 0,9 и 1,5 мм. для фотографий, открыток и др. на холодильник</t>
  </si>
  <si>
    <t>Тираж / Цена за 1 комплект 96 шт./(руб.) с учетом скидки за тираж</t>
  </si>
  <si>
    <t>Офсетная печать визиток для раздачи картон 300 гр. + вд лак</t>
  </si>
  <si>
    <t>Формат, мм / тираж, шт.</t>
  </si>
  <si>
    <t>Цена указана без дополнительных услуг. Более 2 млн. комбинации исполнения визитки можно расчитать на стр. "Печать"</t>
  </si>
  <si>
    <t>Автовизитка с рекламой 21*9,9 см.</t>
  </si>
  <si>
    <t>Печать изображения 360 dpi</t>
  </si>
  <si>
    <t>Цена указана за печать, материал, перерасход. Другие Варианты исполнения и доп. опции можно расчитать в разделе "Широкоформат"</t>
  </si>
  <si>
    <t>Таким цветом обозначены треугольники - информация, которых представляет Важную информацию. Генеруются данные автоматически.</t>
  </si>
  <si>
    <t>ВАЖНО: зеленым цветом отмечены прямоугольники, в которых нужно изменить параметры Вашего заказа</t>
  </si>
  <si>
    <t>30 марта 2018</t>
  </si>
  <si>
    <t>По многочисленным просьбам, мы начали внедрять автоматически генерируемый прайс на стандартную продукцию. Со временемзаполним все разделы</t>
  </si>
  <si>
    <t>Уважаемые клиенты. Это эксперементальный раздел находится в режиме наполнения. По многочисленным просьбам клиентов мы пытаемся совместить</t>
  </si>
  <si>
    <t>расчет и прайс. То есть это автоматически генерируемый расчет в виде классического типографского прайс листа.</t>
  </si>
  <si>
    <t>Цены могут отличаться в пределах 1%. В случае разницы цен - предпочтение отдается цене из расчета.</t>
  </si>
  <si>
    <t>Гладкий Глянец мелованный</t>
  </si>
  <si>
    <t>Матовый мелованный белый</t>
  </si>
  <si>
    <t>5 июня 2018</t>
  </si>
  <si>
    <t>Новинка! Добавлены в ассортимент Сolorcopy 170 гр. глянец и 200 гр. мелованный матовый. Идеально для печати фотографий.</t>
  </si>
  <si>
    <t xml:space="preserve">Тираж, от, цена за шт. </t>
  </si>
  <si>
    <t xml:space="preserve">Печать пластиковой карты 4+0 </t>
  </si>
  <si>
    <t>Печать пластиковой карты 4+4</t>
  </si>
  <si>
    <t>Штрих код, печатная нумерация</t>
  </si>
  <si>
    <t>Эмбосирование с окрашиванием выделенных символов</t>
  </si>
  <si>
    <t>Полоса для подписи</t>
  </si>
  <si>
    <t>Кодирование магнитной полосы</t>
  </si>
  <si>
    <t>Млечный путь</t>
  </si>
  <si>
    <t>19 июня 2018</t>
  </si>
  <si>
    <t>Песочный пляж</t>
  </si>
  <si>
    <t>Золотая лихорадка</t>
  </si>
  <si>
    <t>Хамелеон голубой свет</t>
  </si>
  <si>
    <t>Высокобелый</t>
  </si>
  <si>
    <t>Светящая пленка (фотолюминисцент)</t>
  </si>
  <si>
    <t>Пластик 275</t>
  </si>
  <si>
    <t>Матовый жемчуг</t>
  </si>
  <si>
    <t>ПВХ самоклейка</t>
  </si>
  <si>
    <t>Прозрачный</t>
  </si>
  <si>
    <t>Глянец</t>
  </si>
  <si>
    <t>Пластик жемч 125</t>
  </si>
  <si>
    <t>3 июля 2018</t>
  </si>
  <si>
    <t>Новинки</t>
  </si>
  <si>
    <t>200-204</t>
  </si>
  <si>
    <t>Пластик и пвх наклейки для цифровой печати</t>
  </si>
  <si>
    <t>KAN-1-A5-V (13)</t>
  </si>
  <si>
    <t xml:space="preserve">NAK-1-EU-V </t>
  </si>
  <si>
    <t>Наименование</t>
  </si>
  <si>
    <t>Количество элементов</t>
  </si>
  <si>
    <t>Вероятные значения</t>
  </si>
  <si>
    <t>Высота, см.</t>
  </si>
  <si>
    <t>Длина, см.</t>
  </si>
  <si>
    <t>Периметр, см.</t>
  </si>
  <si>
    <t>Монтажная пленка</t>
  </si>
  <si>
    <t>Накатка Монтажной пленки</t>
  </si>
  <si>
    <t>Выборка</t>
  </si>
  <si>
    <t>Плоттерная резка</t>
  </si>
  <si>
    <t>В том числе</t>
  </si>
  <si>
    <t>Вывод на резку</t>
  </si>
  <si>
    <t>Основа</t>
  </si>
  <si>
    <t>Основы</t>
  </si>
  <si>
    <t>Материал 4</t>
  </si>
  <si>
    <t>Материал 5</t>
  </si>
  <si>
    <t>Материал 6</t>
  </si>
  <si>
    <t>Материал 7</t>
  </si>
  <si>
    <t>Материал 8</t>
  </si>
  <si>
    <t>Материал 9</t>
  </si>
  <si>
    <t>Материал 10</t>
  </si>
  <si>
    <t>Настройки плотерной резки</t>
  </si>
  <si>
    <t>с</t>
  </si>
  <si>
    <t>Точно</t>
  </si>
  <si>
    <t>9 октября 2018</t>
  </si>
  <si>
    <t>Китай белая глянец/матовый</t>
  </si>
  <si>
    <t>Оракал белый глянец/матовый</t>
  </si>
  <si>
    <t>Цветная пленка</t>
  </si>
  <si>
    <t>Добавлен рассчет плотерной резки. Уважаемые клиенты стоимость плоттерной резки снижена на порядки.</t>
  </si>
  <si>
    <t>UPM DIGI</t>
  </si>
  <si>
    <t>10 мм</t>
  </si>
  <si>
    <t xml:space="preserve">В связи с переходом на ПВХ пластик Unext Strong изменились цены на изготовление ПВХ изделий. </t>
  </si>
  <si>
    <t>24 апреля 2019</t>
  </si>
  <si>
    <t>Цена в пачке</t>
  </si>
  <si>
    <t>IQ MONDI ZG34 и пастель</t>
  </si>
  <si>
    <t>IQ MONDI интенсивные цвета</t>
  </si>
  <si>
    <t>Пастельные цвета</t>
  </si>
  <si>
    <t>Умеренный интенсив</t>
  </si>
  <si>
    <t>Интенсив</t>
  </si>
  <si>
    <t>Неон</t>
  </si>
  <si>
    <t>Внимание! Увеличились цены на офсетную печать на 14%.</t>
  </si>
  <si>
    <t>цветные</t>
  </si>
  <si>
    <t>Наклейки вырубные</t>
  </si>
  <si>
    <t>28 октября 2019</t>
  </si>
  <si>
    <t>27 сентября 2019</t>
  </si>
  <si>
    <t>Добавлены в расчет новые сорта вырубных этикеток различных размеров и цветов. Номера бумаг 601 и 602</t>
  </si>
  <si>
    <t>Printer-10</t>
  </si>
  <si>
    <t>(размер клише 27х10 мм)</t>
  </si>
  <si>
    <t>Printer-20</t>
  </si>
  <si>
    <t>Printer-30</t>
  </si>
  <si>
    <t>Printer-60</t>
  </si>
  <si>
    <t>(размер клише 76х37 мм)</t>
  </si>
  <si>
    <t>Printer-25</t>
  </si>
  <si>
    <t>Пластиковая карманная оснастка</t>
  </si>
  <si>
    <t>Mouse Stamp</t>
  </si>
  <si>
    <t>7 ноября 2019</t>
  </si>
  <si>
    <t>Trodat</t>
  </si>
  <si>
    <t>Новинки типографии карманные автоматические оснастки Trodat</t>
  </si>
  <si>
    <t>luxus</t>
  </si>
  <si>
    <t>Новинка Majestic Luxus 250 гр. Ностоящее серебро. Картон для визиток металлизированный. №36 в коллекции.</t>
  </si>
  <si>
    <t>13 ноября 2019</t>
  </si>
  <si>
    <t>CURIOUS Skin</t>
  </si>
  <si>
    <t>KEAYKOLOUR</t>
  </si>
  <si>
    <t>China white/белый фарфор</t>
  </si>
  <si>
    <t>Шероховатый</t>
  </si>
  <si>
    <t>CONQUEROR</t>
  </si>
  <si>
    <t>Хлопок</t>
  </si>
  <si>
    <t>CURIOUS Matter</t>
  </si>
  <si>
    <t>Camel/ серо-зелёный</t>
  </si>
  <si>
    <t>29 мая 2020</t>
  </si>
  <si>
    <t>Глянец мелованный</t>
  </si>
  <si>
    <t>Profi gloss</t>
  </si>
  <si>
    <t>Матовый мелованный</t>
  </si>
  <si>
    <t>ПВХ Kernow самоклейка</t>
  </si>
  <si>
    <t>Матовый съемный клей</t>
  </si>
  <si>
    <t>ПВХ Kernow "под ткань"</t>
  </si>
  <si>
    <t xml:space="preserve">Kernow </t>
  </si>
  <si>
    <t>Металлизированный</t>
  </si>
  <si>
    <t>Золото одностороннее</t>
  </si>
  <si>
    <t>IQ MONDI</t>
  </si>
  <si>
    <t>Скругление угла</t>
  </si>
  <si>
    <t>Цифра</t>
  </si>
  <si>
    <t>4 февраля</t>
  </si>
  <si>
    <t>нал. рас</t>
  </si>
  <si>
    <t>б/н</t>
  </si>
  <si>
    <t xml:space="preserve"> </t>
  </si>
  <si>
    <t>ECOLINE BROWN</t>
  </si>
  <si>
    <t>Офсет Россия</t>
  </si>
  <si>
    <t>белый офсет</t>
  </si>
  <si>
    <t>Поставщик</t>
  </si>
  <si>
    <t>Полимат</t>
  </si>
  <si>
    <t>https://market.yandex.ru/product--belaia-samokleiashchaiasia-bumaga-a4-matovaia/1835474232?sku=101921082552&amp;cpa=1&amp;uniqueId=51683332</t>
  </si>
  <si>
    <t>Гладкий матовый</t>
  </si>
  <si>
    <t xml:space="preserve">26 сентября 2023 года </t>
  </si>
  <si>
    <t>Новинка в колекции офсетная бумага повышенной плотности 160 грамм российского производства. Оптимальное соотношение цены и качества. Подходит для документов и чертежей.</t>
  </si>
  <si>
    <t>Новинка в колекции виниловая матовая плёнка для цифровой печати. Оптимальное соотношение цены и качества. Формат до А4 (минис белые поля)</t>
  </si>
  <si>
    <t>SAMIZDAT ПВХ Самоклейка 75гр</t>
  </si>
  <si>
    <t>SAMIZDAT бумага Самоклейка 80</t>
  </si>
  <si>
    <t>Гладкий полуглянец</t>
  </si>
  <si>
    <t>8 ноября 2023 года</t>
  </si>
  <si>
    <t>Новинка крафт бумажная самоклейка формат А4</t>
  </si>
  <si>
    <t>Бумажная самоклейка полуглянец. Импортозамещение. Формат А3SR/</t>
  </si>
  <si>
    <t>Crush Cacao</t>
  </si>
  <si>
    <t>Какао с молоком</t>
  </si>
  <si>
    <t>Shiro Eecho Raw  Sand</t>
  </si>
  <si>
    <t>Xerox Colorprint</t>
  </si>
  <si>
    <t>матовый мелованный</t>
  </si>
  <si>
    <t>№ 19 CURIOUS Matter</t>
  </si>
  <si>
    <t>UPM Raflatac</t>
  </si>
  <si>
    <t>глянец мелованный белый</t>
  </si>
  <si>
    <t>Brauberg</t>
  </si>
  <si>
    <t>Немелованная</t>
  </si>
  <si>
    <t>Наклейки вырубные d50мм</t>
  </si>
  <si>
    <t>Lomond</t>
  </si>
  <si>
    <t>винил глянец</t>
  </si>
  <si>
    <t>винил прозрачный глянец</t>
  </si>
  <si>
    <t>Стандарт листовок</t>
  </si>
</sst>
</file>

<file path=xl/styles.xml><?xml version="1.0" encoding="utf-8"?>
<styleSheet xmlns="http://schemas.openxmlformats.org/spreadsheetml/2006/main">
  <numFmts count="3">
    <numFmt numFmtId="164" formatCode="_-* #,##0.00_р_._-;\-* #,##0.00_р_._-;_-* &quot;-&quot;??_р_._-;_-@_-"/>
    <numFmt numFmtId="165" formatCode="0.000"/>
    <numFmt numFmtId="166" formatCode="0.0"/>
  </numFmts>
  <fonts count="55">
    <font>
      <sz val="11"/>
      <color theme="1"/>
      <name val="Calibri"/>
      <family val="2"/>
      <charset val="204"/>
      <scheme val="minor"/>
    </font>
    <font>
      <b/>
      <sz val="11"/>
      <color theme="1"/>
      <name val="Calibri"/>
      <family val="2"/>
      <charset val="204"/>
      <scheme val="minor"/>
    </font>
    <font>
      <sz val="8"/>
      <color indexed="81"/>
      <name val="Tahoma"/>
      <family val="2"/>
      <charset val="204"/>
    </font>
    <font>
      <b/>
      <sz val="8"/>
      <color indexed="81"/>
      <name val="Tahoma"/>
      <family val="2"/>
      <charset val="204"/>
    </font>
    <font>
      <sz val="11"/>
      <color theme="0"/>
      <name val="Calibri"/>
      <family val="2"/>
      <charset val="204"/>
      <scheme val="minor"/>
    </font>
    <font>
      <sz val="28"/>
      <color theme="1"/>
      <name val="Calibri"/>
      <family val="2"/>
      <charset val="204"/>
      <scheme val="minor"/>
    </font>
    <font>
      <b/>
      <sz val="16"/>
      <color theme="1"/>
      <name val="Calibri"/>
      <family val="2"/>
      <charset val="204"/>
      <scheme val="minor"/>
    </font>
    <font>
      <sz val="11"/>
      <color theme="1"/>
      <name val="Calibri"/>
      <family val="2"/>
      <charset val="204"/>
    </font>
    <font>
      <sz val="11"/>
      <color rgb="FF000000"/>
      <name val="Times New Roman"/>
      <family val="1"/>
      <charset val="204"/>
    </font>
    <font>
      <vertAlign val="superscript"/>
      <sz val="11"/>
      <color indexed="8"/>
      <name val="Calibri"/>
      <family val="2"/>
      <charset val="204"/>
    </font>
    <font>
      <sz val="11"/>
      <color rgb="FFFFFF00"/>
      <name val="Calibri"/>
      <family val="2"/>
      <charset val="204"/>
      <scheme val="minor"/>
    </font>
    <font>
      <b/>
      <sz val="12"/>
      <color theme="1"/>
      <name val="Calibri"/>
      <family val="2"/>
      <charset val="204"/>
      <scheme val="minor"/>
    </font>
    <font>
      <b/>
      <sz val="11"/>
      <color theme="0"/>
      <name val="Calibri"/>
      <family val="2"/>
      <charset val="204"/>
      <scheme val="minor"/>
    </font>
    <font>
      <sz val="11"/>
      <color rgb="FFFF0000"/>
      <name val="Calibri"/>
      <family val="2"/>
      <charset val="204"/>
      <scheme val="minor"/>
    </font>
    <font>
      <sz val="11"/>
      <name val="Calibri"/>
      <family val="2"/>
      <charset val="204"/>
      <scheme val="minor"/>
    </font>
    <font>
      <sz val="9"/>
      <name val="Calibri"/>
      <family val="2"/>
      <charset val="204"/>
      <scheme val="minor"/>
    </font>
    <font>
      <sz val="8"/>
      <color theme="1"/>
      <name val="Calibri"/>
      <family val="2"/>
      <charset val="204"/>
      <scheme val="minor"/>
    </font>
    <font>
      <b/>
      <sz val="11"/>
      <name val="Calibri"/>
      <family val="2"/>
      <charset val="204"/>
      <scheme val="minor"/>
    </font>
    <font>
      <b/>
      <sz val="9"/>
      <name val="Calibri"/>
      <family val="2"/>
      <charset val="204"/>
      <scheme val="minor"/>
    </font>
    <font>
      <sz val="10"/>
      <name val="Times New Roman"/>
      <family val="1"/>
      <charset val="204"/>
    </font>
    <font>
      <b/>
      <sz val="13"/>
      <name val="Cambria"/>
      <family val="1"/>
      <charset val="204"/>
    </font>
    <font>
      <b/>
      <sz val="10"/>
      <name val="Times New Roman"/>
      <family val="1"/>
      <charset val="204"/>
    </font>
    <font>
      <sz val="8"/>
      <color theme="0"/>
      <name val="Calibri"/>
      <family val="2"/>
      <charset val="204"/>
      <scheme val="minor"/>
    </font>
    <font>
      <sz val="28"/>
      <color theme="0"/>
      <name val="Calibri"/>
      <family val="2"/>
      <charset val="204"/>
      <scheme val="minor"/>
    </font>
    <font>
      <b/>
      <sz val="16"/>
      <color theme="0"/>
      <name val="Calibri"/>
      <family val="2"/>
      <charset val="204"/>
      <scheme val="minor"/>
    </font>
    <font>
      <sz val="11"/>
      <color theme="0"/>
      <name val="Calibri"/>
      <family val="2"/>
      <charset val="204"/>
    </font>
    <font>
      <sz val="10"/>
      <color rgb="FF000000"/>
      <name val="Arial"/>
      <family val="2"/>
      <charset val="204"/>
    </font>
    <font>
      <b/>
      <sz val="14"/>
      <color theme="1"/>
      <name val="Calibri"/>
      <family val="2"/>
      <charset val="204"/>
      <scheme val="minor"/>
    </font>
    <font>
      <b/>
      <sz val="14"/>
      <name val="Calibri"/>
      <family val="2"/>
      <charset val="204"/>
      <scheme val="minor"/>
    </font>
    <font>
      <b/>
      <sz val="11"/>
      <color rgb="FF38383C"/>
      <name val="Tahoma"/>
      <family val="2"/>
      <charset val="204"/>
    </font>
    <font>
      <sz val="11"/>
      <color rgb="FF38383C"/>
      <name val="Tahoma"/>
      <family val="2"/>
      <charset val="204"/>
    </font>
    <font>
      <sz val="8"/>
      <color rgb="FF38383C"/>
      <name val="Tahoma"/>
      <family val="2"/>
      <charset val="204"/>
    </font>
    <font>
      <b/>
      <sz val="8"/>
      <color rgb="FF38383C"/>
      <name val="Tahoma"/>
      <family val="2"/>
      <charset val="204"/>
    </font>
    <font>
      <sz val="16"/>
      <color theme="0"/>
      <name val="Calibri"/>
      <family val="2"/>
      <charset val="204"/>
      <scheme val="minor"/>
    </font>
    <font>
      <i/>
      <sz val="11"/>
      <color rgb="FF7F7F7F"/>
      <name val="Calibri"/>
      <family val="2"/>
      <charset val="204"/>
      <scheme val="minor"/>
    </font>
    <font>
      <u/>
      <sz val="11"/>
      <color theme="10"/>
      <name val="Calibri"/>
      <family val="2"/>
      <charset val="204"/>
    </font>
    <font>
      <u/>
      <sz val="11"/>
      <color theme="0"/>
      <name val="Calibri"/>
      <family val="2"/>
      <charset val="204"/>
    </font>
    <font>
      <sz val="10"/>
      <color theme="1"/>
      <name val="Arial Unicode MS"/>
      <family val="2"/>
      <charset val="204"/>
    </font>
    <font>
      <sz val="9"/>
      <color rgb="FF333333"/>
      <name val="Verdana"/>
      <family val="2"/>
      <charset val="204"/>
    </font>
    <font>
      <sz val="12"/>
      <color theme="1"/>
      <name val="Times New Roman"/>
      <family val="1"/>
      <charset val="204"/>
    </font>
    <font>
      <b/>
      <sz val="12"/>
      <color rgb="FF403152"/>
      <name val="Arial"/>
      <family val="2"/>
      <charset val="204"/>
    </font>
    <font>
      <b/>
      <sz val="10"/>
      <color theme="1"/>
      <name val="Arial"/>
      <family val="2"/>
      <charset val="204"/>
    </font>
    <font>
      <sz val="12"/>
      <color rgb="FF403152"/>
      <name val="Arial"/>
      <family val="2"/>
      <charset val="204"/>
    </font>
    <font>
      <sz val="12"/>
      <color rgb="FFFF0000"/>
      <name val="Times New Roman"/>
      <family val="1"/>
      <charset val="204"/>
    </font>
    <font>
      <b/>
      <sz val="10"/>
      <color rgb="FF000000"/>
      <name val="Arial"/>
      <family val="2"/>
      <charset val="204"/>
    </font>
    <font>
      <i/>
      <sz val="10"/>
      <color theme="1"/>
      <name val="Arial"/>
      <family val="2"/>
      <charset val="204"/>
    </font>
    <font>
      <i/>
      <sz val="10"/>
      <color rgb="FF000000"/>
      <name val="Arial"/>
      <family val="2"/>
      <charset val="204"/>
    </font>
    <font>
      <b/>
      <sz val="11"/>
      <color rgb="FF3F3F3F"/>
      <name val="Calibri"/>
      <family val="2"/>
      <charset val="204"/>
      <scheme val="minor"/>
    </font>
    <font>
      <b/>
      <u/>
      <sz val="14"/>
      <color rgb="FF000000"/>
      <name val="Cambria"/>
      <family val="1"/>
      <charset val="204"/>
    </font>
    <font>
      <b/>
      <sz val="9"/>
      <color rgb="FFFFFFFF"/>
      <name val="Arial"/>
      <family val="2"/>
      <charset val="204"/>
    </font>
    <font>
      <sz val="9"/>
      <color theme="1"/>
      <name val="Arial"/>
      <family val="2"/>
      <charset val="204"/>
    </font>
    <font>
      <sz val="10"/>
      <color theme="1"/>
      <name val="Arial"/>
      <family val="2"/>
      <charset val="204"/>
    </font>
    <font>
      <sz val="11"/>
      <color rgb="FF000000"/>
      <name val="Calibri"/>
      <family val="2"/>
      <charset val="204"/>
      <scheme val="minor"/>
    </font>
    <font>
      <sz val="10"/>
      <color rgb="FF000000"/>
      <name val="Calibri"/>
      <family val="2"/>
      <charset val="204"/>
      <scheme val="minor"/>
    </font>
    <font>
      <u/>
      <sz val="11"/>
      <color theme="1"/>
      <name val="Calibri"/>
      <family val="2"/>
      <charset val="204"/>
    </font>
  </fonts>
  <fills count="2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1"/>
        <bgColor indexed="64"/>
      </patternFill>
    </fill>
    <fill>
      <patternFill patternType="solid">
        <fgColor theme="0"/>
        <bgColor indexed="64"/>
      </patternFill>
    </fill>
    <fill>
      <patternFill patternType="solid">
        <fgColor rgb="FF00B050"/>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A5A5A5"/>
      </patternFill>
    </fill>
    <fill>
      <patternFill patternType="solid">
        <fgColor rgb="FF7DFF7D"/>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2F1FF"/>
        <bgColor indexed="64"/>
      </patternFill>
    </fill>
    <fill>
      <patternFill patternType="solid">
        <fgColor rgb="FFDFFFFF"/>
        <bgColor indexed="64"/>
      </patternFill>
    </fill>
    <fill>
      <patternFill patternType="solid">
        <fgColor rgb="FFF5E3DC"/>
        <bgColor indexed="64"/>
      </patternFill>
    </fill>
    <fill>
      <patternFill patternType="solid">
        <fgColor rgb="FFEBEBEB"/>
        <bgColor indexed="64"/>
      </patternFill>
    </fill>
    <fill>
      <patternFill patternType="solid">
        <fgColor rgb="FFF2F2F2"/>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rgb="FFFFFF66"/>
        <bgColor indexed="64"/>
      </patternFill>
    </fill>
  </fills>
  <borders count="8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FF"/>
      </right>
      <top/>
      <bottom style="medium">
        <color rgb="FF0000FF"/>
      </bottom>
      <diagonal/>
    </border>
    <border>
      <left style="medium">
        <color rgb="FF0000FF"/>
      </left>
      <right style="medium">
        <color rgb="FF0000FF"/>
      </right>
      <top/>
      <bottom style="medium">
        <color rgb="FF0000FF"/>
      </bottom>
      <diagonal/>
    </border>
    <border>
      <left style="medium">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00FF"/>
      </left>
      <right style="medium">
        <color rgb="FF0000FF"/>
      </right>
      <top style="medium">
        <color rgb="FF0000FF"/>
      </top>
      <bottom style="medium">
        <color rgb="FF0000FF"/>
      </bottom>
      <diagonal/>
    </border>
    <border>
      <left style="medium">
        <color indexed="64"/>
      </left>
      <right style="thin">
        <color indexed="64"/>
      </right>
      <top/>
      <bottom/>
      <diagonal/>
    </border>
    <border>
      <left/>
      <right/>
      <top style="medium">
        <color rgb="FF0000FF"/>
      </top>
      <bottom style="medium">
        <color rgb="FF0000FF"/>
      </bottom>
      <diagonal/>
    </border>
    <border>
      <left style="medium">
        <color rgb="FF0000FF"/>
      </left>
      <right style="medium">
        <color rgb="FF0000FF"/>
      </right>
      <top/>
      <bottom/>
      <diagonal/>
    </border>
    <border>
      <left/>
      <right/>
      <top/>
      <bottom style="medium">
        <color rgb="FF0000FF"/>
      </bottom>
      <diagonal/>
    </border>
    <border>
      <left style="medium">
        <color rgb="FF0000FF"/>
      </left>
      <right style="medium">
        <color rgb="FF0000FF"/>
      </right>
      <top style="medium">
        <color rgb="FF0000FF"/>
      </top>
      <bottom/>
      <diagonal/>
    </border>
    <border>
      <left/>
      <right style="medium">
        <color rgb="FF0000FF"/>
      </right>
      <top/>
      <bottom/>
      <diagonal/>
    </border>
    <border>
      <left style="double">
        <color rgb="FF3F3F3F"/>
      </left>
      <right style="double">
        <color rgb="FF3F3F3F"/>
      </right>
      <top style="double">
        <color rgb="FF3F3F3F"/>
      </top>
      <bottom style="double">
        <color rgb="FF3F3F3F"/>
      </bottom>
      <diagonal/>
    </border>
    <border>
      <left style="mediumDashDotDot">
        <color auto="1"/>
      </left>
      <right style="mediumDashDotDot">
        <color auto="1"/>
      </right>
      <top style="mediumDashDotDot">
        <color auto="1"/>
      </top>
      <bottom/>
      <diagonal/>
    </border>
    <border>
      <left style="mediumDashDotDot">
        <color auto="1"/>
      </left>
      <right style="mediumDashDotDot">
        <color auto="1"/>
      </right>
      <top/>
      <bottom style="mediumDashDotDot">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style="mediumDashed">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DashDotDot">
        <color auto="1"/>
      </left>
      <right/>
      <top style="mediumDashDotDot">
        <color auto="1"/>
      </top>
      <bottom/>
      <diagonal/>
    </border>
    <border>
      <left/>
      <right style="mediumDashDotDot">
        <color auto="1"/>
      </right>
      <top style="mediumDashDotDot">
        <color auto="1"/>
      </top>
      <bottom/>
      <diagonal/>
    </border>
    <border>
      <left style="mediumDashDotDot">
        <color auto="1"/>
      </left>
      <right/>
      <top/>
      <bottom style="mediumDashDotDot">
        <color auto="1"/>
      </bottom>
      <diagonal/>
    </border>
    <border>
      <left/>
      <right style="mediumDashDotDot">
        <color auto="1"/>
      </right>
      <top/>
      <bottom style="mediumDashDotDot">
        <color auto="1"/>
      </bottom>
      <diagonal/>
    </border>
    <border>
      <left style="mediumDashDotDot">
        <color auto="1"/>
      </left>
      <right/>
      <top/>
      <bottom/>
      <diagonal/>
    </border>
    <border>
      <left/>
      <right style="mediumDashDotDot">
        <color auto="1"/>
      </right>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double">
        <color rgb="FF3F3F3F"/>
      </left>
      <right style="thin">
        <color auto="1"/>
      </right>
      <top style="thin">
        <color auto="1"/>
      </top>
      <bottom style="double">
        <color rgb="FF3F3F3F"/>
      </bottom>
      <diagonal/>
    </border>
    <border>
      <left style="thin">
        <color auto="1"/>
      </left>
      <right/>
      <top/>
      <bottom/>
      <diagonal/>
    </border>
    <border>
      <left/>
      <right style="thin">
        <color auto="1"/>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rgb="FFFFFFFF"/>
      </bottom>
      <diagonal/>
    </border>
    <border>
      <left/>
      <right/>
      <top style="medium">
        <color rgb="FFFFFFFF"/>
      </top>
      <bottom/>
      <diagonal/>
    </border>
    <border>
      <left/>
      <right/>
      <top style="medium">
        <color rgb="FFFFFFFF"/>
      </top>
      <bottom style="medium">
        <color rgb="FFFFFFFF"/>
      </bottom>
      <diagonal/>
    </border>
    <border>
      <left style="double">
        <color rgb="FF3F3F3F"/>
      </left>
      <right/>
      <top/>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mediumDashed">
        <color auto="1"/>
      </left>
      <right style="mediumDashed">
        <color auto="1"/>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rgb="FF3F3F3F"/>
      </left>
      <right style="thin">
        <color rgb="FF3F3F3F"/>
      </right>
      <top style="thin">
        <color rgb="FF3F3F3F"/>
      </top>
      <bottom style="thin">
        <color rgb="FF3F3F3F"/>
      </bottom>
      <diagonal/>
    </border>
    <border>
      <left style="mediumDashDotDot">
        <color auto="1"/>
      </left>
      <right style="mediumDashDotDot">
        <color auto="1"/>
      </right>
      <top/>
      <bottom/>
      <diagonal/>
    </border>
    <border>
      <left style="mediumDashDot">
        <color auto="1"/>
      </left>
      <right style="mediumDashDot">
        <color auto="1"/>
      </right>
      <top style="mediumDashDot">
        <color auto="1"/>
      </top>
      <bottom/>
      <diagonal/>
    </border>
    <border>
      <left style="mediumDashDot">
        <color auto="1"/>
      </left>
      <right style="mediumDashDot">
        <color auto="1"/>
      </right>
      <top/>
      <bottom style="mediumDashDot">
        <color auto="1"/>
      </bottom>
      <diagonal/>
    </border>
    <border>
      <left style="mediumDashDot">
        <color auto="1"/>
      </left>
      <right/>
      <top style="mediumDashDot">
        <color auto="1"/>
      </top>
      <bottom/>
      <diagonal/>
    </border>
    <border>
      <left style="medium">
        <color auto="1"/>
      </left>
      <right/>
      <top style="medium">
        <color auto="1"/>
      </top>
      <bottom/>
      <diagonal/>
    </border>
    <border>
      <left/>
      <right/>
      <top style="medium">
        <color auto="1"/>
      </top>
      <bottom/>
      <diagonal/>
    </border>
    <border>
      <left style="mediumDashDot">
        <color auto="1"/>
      </left>
      <right/>
      <top/>
      <bottom style="mediumDashDot">
        <color auto="1"/>
      </bottom>
      <diagonal/>
    </border>
    <border>
      <left style="medium">
        <color rgb="FF3F3F3F"/>
      </left>
      <right/>
      <top/>
      <bottom style="medium">
        <color rgb="FF3F3F3F"/>
      </bottom>
      <diagonal/>
    </border>
    <border>
      <left/>
      <right style="medium">
        <color rgb="FF3F3F3F"/>
      </right>
      <top/>
      <bottom style="medium">
        <color rgb="FF3F3F3F"/>
      </bottom>
      <diagonal/>
    </border>
    <border>
      <left/>
      <right/>
      <top/>
      <bottom style="double">
        <color rgb="FF3F3F3F"/>
      </bottom>
      <diagonal/>
    </border>
    <border>
      <left/>
      <right/>
      <top/>
      <bottom style="medium">
        <color rgb="FF3F3F3F"/>
      </bottom>
      <diagonal/>
    </border>
    <border>
      <left/>
      <right/>
      <top style="mediumDashDotDot">
        <color auto="1"/>
      </top>
      <bottom/>
      <diagonal/>
    </border>
    <border>
      <left style="mediumDashDotDot">
        <color auto="1"/>
      </left>
      <right/>
      <top/>
      <bottom style="double">
        <color rgb="FF3F3F3F"/>
      </bottom>
      <diagonal/>
    </border>
    <border>
      <left/>
      <right style="mediumDashDotDot">
        <color auto="1"/>
      </right>
      <top/>
      <bottom style="double">
        <color rgb="FF3F3F3F"/>
      </bottom>
      <diagonal/>
    </border>
    <border>
      <left style="mediumDashDotDot">
        <color auto="1"/>
      </left>
      <right style="double">
        <color rgb="FF3F3F3F"/>
      </right>
      <top style="double">
        <color rgb="FF3F3F3F"/>
      </top>
      <bottom style="double">
        <color rgb="FF3F3F3F"/>
      </bottom>
      <diagonal/>
    </border>
    <border>
      <left/>
      <right/>
      <top/>
      <bottom style="mediumDashDotDot">
        <color auto="1"/>
      </bottom>
      <diagonal/>
    </border>
    <border>
      <left style="double">
        <color rgb="FF3F3F3F"/>
      </left>
      <right style="double">
        <color rgb="FF3F3F3F"/>
      </right>
      <top/>
      <bottom/>
      <diagonal/>
    </border>
    <border>
      <left style="medium">
        <color rgb="FF000000"/>
      </left>
      <right/>
      <top style="medium">
        <color rgb="FF000000"/>
      </top>
      <bottom style="medium">
        <color rgb="FF000000"/>
      </bottom>
      <diagonal/>
    </border>
  </borders>
  <cellStyleXfs count="5">
    <xf numFmtId="0" fontId="0" fillId="0" borderId="0"/>
    <xf numFmtId="0" fontId="12" fillId="12" borderId="24"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0" fontId="47" fillId="21" borderId="61" applyNumberFormat="0" applyAlignment="0" applyProtection="0"/>
  </cellStyleXfs>
  <cellXfs count="377">
    <xf numFmtId="0" fontId="0" fillId="0" borderId="0" xfId="0"/>
    <xf numFmtId="0" fontId="0" fillId="2" borderId="0" xfId="0" applyFill="1"/>
    <xf numFmtId="0" fontId="0" fillId="2" borderId="0" xfId="0" applyFill="1" applyAlignment="1">
      <alignment horizontal="right"/>
    </xf>
    <xf numFmtId="0" fontId="0" fillId="0" borderId="0" xfId="0" applyAlignment="1">
      <alignment horizontal="right"/>
    </xf>
    <xf numFmtId="0" fontId="0" fillId="0" borderId="0" xfId="0" applyFill="1"/>
    <xf numFmtId="2" fontId="0" fillId="0" borderId="0" xfId="0" applyNumberFormat="1"/>
    <xf numFmtId="0" fontId="0" fillId="0" borderId="0" xfId="0" applyAlignment="1">
      <alignment horizontal="left"/>
    </xf>
    <xf numFmtId="0" fontId="0" fillId="3" borderId="0" xfId="0" applyFill="1"/>
    <xf numFmtId="0" fontId="4" fillId="0" borderId="0" xfId="0" applyFont="1"/>
    <xf numFmtId="0" fontId="0" fillId="6" borderId="0" xfId="0" applyFill="1"/>
    <xf numFmtId="0" fontId="6" fillId="0" borderId="1" xfId="0" applyFont="1" applyBorder="1" applyAlignment="1">
      <alignment horizontal="center"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0" xfId="0" applyFill="1"/>
    <xf numFmtId="0" fontId="0" fillId="10" borderId="4" xfId="0" applyFill="1" applyBorder="1" applyAlignment="1">
      <alignment horizontal="center" vertical="center"/>
    </xf>
    <xf numFmtId="0" fontId="0" fillId="10" borderId="5" xfId="0" applyFill="1" applyBorder="1" applyAlignment="1">
      <alignment horizontal="center" vertical="center"/>
    </xf>
    <xf numFmtId="0" fontId="7" fillId="10" borderId="5" xfId="0" applyFont="1" applyFill="1" applyBorder="1" applyAlignment="1">
      <alignment horizontal="center" vertical="center"/>
    </xf>
    <xf numFmtId="0" fontId="7" fillId="10" borderId="6" xfId="0" applyFont="1" applyFill="1" applyBorder="1" applyAlignment="1">
      <alignment horizontal="center" vertical="center"/>
    </xf>
    <xf numFmtId="0" fontId="0" fillId="11" borderId="7" xfId="0" applyFill="1" applyBorder="1" applyAlignment="1">
      <alignment horizontal="center" vertical="center"/>
    </xf>
    <xf numFmtId="0" fontId="0" fillId="10" borderId="7" xfId="0" applyFill="1" applyBorder="1" applyAlignment="1">
      <alignment horizontal="center" vertical="center"/>
    </xf>
    <xf numFmtId="0" fontId="0" fillId="11" borderId="7" xfId="0" applyFill="1" applyBorder="1" applyAlignment="1">
      <alignment horizontal="center" vertical="center" wrapText="1"/>
    </xf>
    <xf numFmtId="0" fontId="7" fillId="11" borderId="8" xfId="0" applyFont="1" applyFill="1" applyBorder="1" applyAlignment="1">
      <alignment horizontal="center" vertical="center"/>
    </xf>
    <xf numFmtId="0" fontId="0" fillId="11" borderId="8" xfId="0" applyFill="1" applyBorder="1" applyAlignment="1">
      <alignment horizontal="center" vertical="center"/>
    </xf>
    <xf numFmtId="0" fontId="0" fillId="11" borderId="9" xfId="0" applyFill="1" applyBorder="1" applyAlignment="1">
      <alignment horizontal="center" vertical="center"/>
    </xf>
    <xf numFmtId="0" fontId="0" fillId="10" borderId="8" xfId="0" applyFill="1" applyBorder="1" applyAlignment="1">
      <alignment horizontal="center" vertical="center"/>
    </xf>
    <xf numFmtId="0" fontId="7" fillId="10" borderId="8" xfId="0" applyFont="1" applyFill="1" applyBorder="1" applyAlignment="1">
      <alignment horizontal="center" vertical="center"/>
    </xf>
    <xf numFmtId="0" fontId="0" fillId="10" borderId="9" xfId="0" applyFill="1" applyBorder="1" applyAlignment="1">
      <alignment horizontal="center" vertical="center"/>
    </xf>
    <xf numFmtId="0" fontId="0" fillId="11" borderId="10" xfId="0" applyFill="1" applyBorder="1" applyAlignment="1">
      <alignment horizontal="center" vertical="center" wrapText="1"/>
    </xf>
    <xf numFmtId="0" fontId="0" fillId="11" borderId="11" xfId="0" applyFill="1" applyBorder="1" applyAlignment="1">
      <alignment horizontal="center" vertical="center"/>
    </xf>
    <xf numFmtId="0" fontId="7" fillId="11" borderId="11" xfId="0" applyFont="1" applyFill="1" applyBorder="1" applyAlignment="1">
      <alignment horizontal="center" vertical="center"/>
    </xf>
    <xf numFmtId="0" fontId="0" fillId="11" borderId="12" xfId="0" applyFill="1" applyBorder="1" applyAlignment="1">
      <alignment horizontal="center" vertical="center"/>
    </xf>
    <xf numFmtId="0" fontId="0" fillId="10" borderId="18" xfId="0" applyFill="1" applyBorder="1" applyAlignment="1">
      <alignment horizontal="center" vertical="center"/>
    </xf>
    <xf numFmtId="0" fontId="0" fillId="0" borderId="17" xfId="0" applyBorder="1" applyAlignment="1">
      <alignment horizontal="center" wrapText="1"/>
    </xf>
    <xf numFmtId="0" fontId="0" fillId="0" borderId="0" xfId="0" applyAlignment="1">
      <alignment horizontal="center" wrapText="1"/>
    </xf>
    <xf numFmtId="0" fontId="8" fillId="0" borderId="14" xfId="0" applyFont="1"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1" fillId="0" borderId="0" xfId="0" applyFont="1" applyAlignment="1">
      <alignment horizontal="center" wrapText="1"/>
    </xf>
    <xf numFmtId="0" fontId="13" fillId="0" borderId="0" xfId="0" applyFont="1" applyAlignment="1">
      <alignment horizontal="right"/>
    </xf>
    <xf numFmtId="0" fontId="0" fillId="2" borderId="25" xfId="0" applyFill="1" applyBorder="1"/>
    <xf numFmtId="0" fontId="0" fillId="2" borderId="27" xfId="0" applyFill="1" applyBorder="1"/>
    <xf numFmtId="0" fontId="12" fillId="12" borderId="24" xfId="1"/>
    <xf numFmtId="0" fontId="1" fillId="12" borderId="24" xfId="1" applyFont="1"/>
    <xf numFmtId="0" fontId="0" fillId="2" borderId="32" xfId="0" applyFill="1" applyBorder="1" applyAlignment="1">
      <alignment horizontal="right"/>
    </xf>
    <xf numFmtId="0" fontId="10" fillId="2" borderId="33" xfId="0" applyFont="1" applyFill="1" applyBorder="1"/>
    <xf numFmtId="0" fontId="0" fillId="2" borderId="34" xfId="0" applyFill="1" applyBorder="1" applyAlignment="1">
      <alignment horizontal="right"/>
    </xf>
    <xf numFmtId="0" fontId="1" fillId="2" borderId="25" xfId="0" applyFont="1" applyFill="1" applyBorder="1"/>
    <xf numFmtId="0" fontId="0" fillId="2" borderId="32" xfId="0" applyFill="1" applyBorder="1"/>
    <xf numFmtId="0" fontId="0" fillId="2" borderId="36" xfId="0" applyFill="1" applyBorder="1" applyAlignment="1">
      <alignment horizontal="right"/>
    </xf>
    <xf numFmtId="0" fontId="0" fillId="2" borderId="38" xfId="0" applyFill="1" applyBorder="1"/>
    <xf numFmtId="0" fontId="10" fillId="2" borderId="39" xfId="0" applyFont="1" applyFill="1" applyBorder="1"/>
    <xf numFmtId="0" fontId="0" fillId="2" borderId="0" xfId="0" applyFill="1" applyBorder="1"/>
    <xf numFmtId="0" fontId="0" fillId="2" borderId="41" xfId="0" applyFill="1" applyBorder="1"/>
    <xf numFmtId="0" fontId="1" fillId="12" borderId="29" xfId="1" applyFont="1" applyBorder="1" applyAlignment="1">
      <alignment horizontal="right"/>
    </xf>
    <xf numFmtId="0" fontId="0" fillId="2" borderId="44" xfId="0" applyFill="1" applyBorder="1"/>
    <xf numFmtId="0" fontId="13" fillId="2" borderId="45" xfId="0" applyFont="1" applyFill="1" applyBorder="1" applyAlignment="1">
      <alignment horizontal="right"/>
    </xf>
    <xf numFmtId="0" fontId="0" fillId="2" borderId="30" xfId="0" applyFill="1" applyBorder="1"/>
    <xf numFmtId="0" fontId="13" fillId="2" borderId="31" xfId="0" applyFont="1" applyFill="1" applyBorder="1" applyAlignment="1">
      <alignment horizontal="right"/>
    </xf>
    <xf numFmtId="0" fontId="0" fillId="2" borderId="44" xfId="0" applyFill="1" applyBorder="1" applyAlignment="1">
      <alignment horizontal="right"/>
    </xf>
    <xf numFmtId="0" fontId="1" fillId="12" borderId="24" xfId="1" applyFont="1" applyAlignment="1">
      <alignment horizontal="left"/>
    </xf>
    <xf numFmtId="0" fontId="1" fillId="12" borderId="24" xfId="1" applyFont="1" applyAlignment="1">
      <alignment horizontal="right"/>
    </xf>
    <xf numFmtId="1" fontId="1" fillId="12" borderId="24" xfId="1" applyNumberFormat="1" applyFont="1"/>
    <xf numFmtId="0" fontId="1" fillId="12" borderId="43" xfId="1" applyFont="1" applyBorder="1"/>
    <xf numFmtId="2" fontId="1" fillId="12" borderId="24" xfId="1" applyNumberFormat="1" applyFont="1"/>
    <xf numFmtId="0" fontId="0" fillId="13" borderId="26" xfId="0" applyFill="1" applyBorder="1"/>
    <xf numFmtId="0" fontId="0" fillId="13" borderId="0" xfId="0" applyFill="1" applyAlignment="1">
      <alignment horizontal="center"/>
    </xf>
    <xf numFmtId="0" fontId="0" fillId="13" borderId="0" xfId="0" applyFill="1"/>
    <xf numFmtId="0" fontId="0" fillId="13" borderId="45" xfId="0" applyFill="1" applyBorder="1"/>
    <xf numFmtId="0" fontId="0" fillId="13" borderId="37" xfId="0" applyFill="1" applyBorder="1"/>
    <xf numFmtId="0" fontId="0" fillId="13" borderId="35" xfId="0" applyFill="1" applyBorder="1"/>
    <xf numFmtId="0" fontId="0" fillId="13" borderId="40" xfId="0" applyFill="1" applyBorder="1"/>
    <xf numFmtId="0" fontId="0" fillId="13" borderId="42" xfId="0" applyFill="1" applyBorder="1"/>
    <xf numFmtId="0" fontId="1" fillId="0" borderId="0" xfId="0" applyFont="1"/>
    <xf numFmtId="0" fontId="14" fillId="0" borderId="0" xfId="0" applyFont="1" applyFill="1" applyBorder="1"/>
    <xf numFmtId="0" fontId="15" fillId="0" borderId="0" xfId="0" applyFont="1" applyFill="1" applyBorder="1" applyAlignment="1">
      <alignment vertical="top" wrapText="1"/>
    </xf>
    <xf numFmtId="0" fontId="7" fillId="10" borderId="44" xfId="0" applyFont="1" applyFill="1" applyBorder="1" applyAlignment="1">
      <alignment horizontal="center" vertical="center"/>
    </xf>
    <xf numFmtId="0" fontId="4" fillId="0" borderId="0" xfId="0" applyFont="1" applyFill="1"/>
    <xf numFmtId="1" fontId="11" fillId="2" borderId="0" xfId="0" applyNumberFormat="1" applyFont="1" applyFill="1"/>
    <xf numFmtId="0" fontId="16" fillId="0" borderId="0" xfId="0" applyFont="1" applyAlignment="1">
      <alignment horizontal="right"/>
    </xf>
    <xf numFmtId="0" fontId="1" fillId="4" borderId="0" xfId="0" applyFont="1" applyFill="1"/>
    <xf numFmtId="0" fontId="0" fillId="0" borderId="0" xfId="0" applyAlignment="1">
      <alignment horizontal="right" wrapText="1"/>
    </xf>
    <xf numFmtId="2" fontId="1" fillId="12" borderId="24" xfId="1" applyNumberFormat="1" applyFont="1" applyAlignment="1">
      <alignment horizontal="left"/>
    </xf>
    <xf numFmtId="0" fontId="17" fillId="0" borderId="0" xfId="0" applyFont="1" applyFill="1" applyBorder="1" applyAlignment="1">
      <alignment horizontal="right"/>
    </xf>
    <xf numFmtId="0" fontId="14" fillId="0" borderId="0" xfId="0" applyFont="1" applyFill="1" applyBorder="1" applyAlignment="1">
      <alignment horizontal="right"/>
    </xf>
    <xf numFmtId="0" fontId="18" fillId="0" borderId="0" xfId="0" applyFont="1" applyFill="1" applyBorder="1" applyAlignment="1">
      <alignment horizontal="right" vertical="top" wrapText="1"/>
    </xf>
    <xf numFmtId="0" fontId="18" fillId="0" borderId="0" xfId="0" applyFont="1" applyFill="1" applyBorder="1" applyAlignment="1">
      <alignment vertical="top" wrapText="1"/>
    </xf>
    <xf numFmtId="0" fontId="15" fillId="0" borderId="0" xfId="0" applyFont="1" applyFill="1" applyBorder="1" applyAlignment="1">
      <alignment horizontal="right" vertical="top" wrapText="1"/>
    </xf>
    <xf numFmtId="0" fontId="15" fillId="0" borderId="0" xfId="0" applyFont="1" applyFill="1" applyBorder="1" applyAlignment="1">
      <alignment wrapText="1"/>
    </xf>
    <xf numFmtId="0" fontId="19" fillId="0" borderId="0" xfId="0" applyFont="1" applyFill="1" applyBorder="1"/>
    <xf numFmtId="0" fontId="14" fillId="0" borderId="0" xfId="0" applyFont="1" applyFill="1"/>
    <xf numFmtId="0" fontId="19" fillId="0" borderId="13" xfId="0" applyNumberFormat="1" applyFont="1" applyFill="1" applyBorder="1" applyAlignment="1">
      <alignment wrapText="1"/>
    </xf>
    <xf numFmtId="0" fontId="19" fillId="0" borderId="13" xfId="0" applyFont="1" applyFill="1" applyBorder="1" applyAlignment="1">
      <alignment wrapText="1"/>
    </xf>
    <xf numFmtId="0" fontId="19" fillId="0" borderId="14" xfId="0" applyFont="1" applyFill="1" applyBorder="1" applyAlignment="1">
      <alignment vertical="top" wrapText="1"/>
    </xf>
    <xf numFmtId="0" fontId="21" fillId="0" borderId="13" xfId="0" applyFont="1" applyFill="1" applyBorder="1" applyAlignment="1">
      <alignment wrapText="1"/>
    </xf>
    <xf numFmtId="0" fontId="21" fillId="0" borderId="15" xfId="0" applyFont="1" applyFill="1" applyBorder="1" applyAlignment="1">
      <alignment vertical="top" wrapText="1"/>
    </xf>
    <xf numFmtId="0" fontId="19" fillId="0" borderId="23" xfId="0" applyFont="1" applyFill="1" applyBorder="1" applyAlignment="1">
      <alignment wrapText="1"/>
    </xf>
    <xf numFmtId="0" fontId="21" fillId="0" borderId="13" xfId="0" applyFont="1" applyFill="1" applyBorder="1" applyAlignment="1">
      <alignment vertical="top" wrapText="1"/>
    </xf>
    <xf numFmtId="0" fontId="19" fillId="0" borderId="13" xfId="0" applyFont="1" applyFill="1" applyBorder="1" applyAlignment="1">
      <alignment vertical="top" wrapText="1"/>
    </xf>
    <xf numFmtId="0" fontId="19" fillId="0" borderId="21" xfId="0" applyFont="1" applyFill="1" applyBorder="1" applyAlignment="1">
      <alignment wrapText="1"/>
    </xf>
    <xf numFmtId="0" fontId="21" fillId="0" borderId="21" xfId="0" applyFont="1" applyFill="1" applyBorder="1" applyAlignment="1">
      <alignment wrapText="1"/>
    </xf>
    <xf numFmtId="0" fontId="19" fillId="0" borderId="20" xfId="0" applyFont="1" applyFill="1" applyBorder="1" applyAlignment="1">
      <alignment vertical="top" wrapText="1"/>
    </xf>
    <xf numFmtId="0" fontId="21" fillId="0" borderId="16" xfId="0" applyFont="1" applyFill="1" applyBorder="1" applyAlignment="1">
      <alignment vertical="top" wrapText="1"/>
    </xf>
    <xf numFmtId="0" fontId="14" fillId="0" borderId="0" xfId="0" applyNumberFormat="1" applyFont="1" applyFill="1" applyBorder="1" applyAlignment="1">
      <alignment horizontal="right" vertical="top" wrapText="1"/>
    </xf>
    <xf numFmtId="0" fontId="11" fillId="2" borderId="0" xfId="0" applyFont="1" applyFill="1" applyAlignment="1">
      <alignment horizontal="right"/>
    </xf>
    <xf numFmtId="0" fontId="4" fillId="0" borderId="0" xfId="0" applyFont="1" applyFill="1" applyAlignment="1">
      <alignment horizontal="right"/>
    </xf>
    <xf numFmtId="0" fontId="12" fillId="0" borderId="0" xfId="0" applyFont="1" applyFill="1"/>
    <xf numFmtId="0" fontId="4" fillId="0" borderId="0" xfId="0" applyFont="1" applyFill="1" applyAlignment="1">
      <alignment horizontal="left"/>
    </xf>
    <xf numFmtId="0" fontId="4" fillId="0" borderId="0" xfId="0" applyFont="1" applyFill="1" applyAlignment="1">
      <alignment horizontal="center"/>
    </xf>
    <xf numFmtId="2" fontId="4" fillId="0" borderId="0" xfId="0" applyNumberFormat="1" applyFont="1" applyFill="1"/>
    <xf numFmtId="1" fontId="4" fillId="0" borderId="0" xfId="0" applyNumberFormat="1" applyFont="1" applyFill="1"/>
    <xf numFmtId="0" fontId="22" fillId="0" borderId="0" xfId="0" applyFont="1" applyFill="1" applyAlignment="1">
      <alignment horizontal="right"/>
    </xf>
    <xf numFmtId="0" fontId="4" fillId="0" borderId="0" xfId="0" applyFont="1" applyFill="1" applyAlignment="1">
      <alignment vertical="center" wrapText="1"/>
    </xf>
    <xf numFmtId="0" fontId="2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44" xfId="0" applyFont="1" applyFill="1" applyBorder="1" applyAlignment="1">
      <alignment horizontal="center" vertical="center"/>
    </xf>
    <xf numFmtId="0" fontId="4" fillId="0" borderId="11" xfId="0" applyFont="1" applyFill="1" applyBorder="1" applyAlignment="1">
      <alignment horizontal="center" vertical="center"/>
    </xf>
    <xf numFmtId="0" fontId="25"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4" xfId="0" applyFont="1" applyFill="1" applyBorder="1" applyAlignment="1">
      <alignment horizontal="center" vertical="center"/>
    </xf>
    <xf numFmtId="0" fontId="25" fillId="0" borderId="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16" xfId="0" applyBorder="1" applyAlignment="1">
      <alignment horizontal="center" wrapText="1"/>
    </xf>
    <xf numFmtId="16" fontId="0" fillId="0" borderId="0" xfId="0" applyNumberFormat="1"/>
    <xf numFmtId="0" fontId="26" fillId="14" borderId="0" xfId="0" applyFont="1" applyFill="1"/>
    <xf numFmtId="0" fontId="26" fillId="0" borderId="0" xfId="0" applyFont="1"/>
    <xf numFmtId="1" fontId="27" fillId="6" borderId="46" xfId="0" applyNumberFormat="1" applyFont="1" applyFill="1" applyBorder="1" applyAlignment="1" applyProtection="1">
      <alignment horizontal="center"/>
      <protection hidden="1"/>
    </xf>
    <xf numFmtId="1" fontId="28" fillId="0" borderId="47" xfId="0" applyNumberFormat="1" applyFont="1" applyFill="1" applyBorder="1" applyAlignment="1" applyProtection="1">
      <alignment horizontal="center"/>
      <protection hidden="1"/>
    </xf>
    <xf numFmtId="0" fontId="0" fillId="14" borderId="13" xfId="0" applyFill="1" applyBorder="1" applyAlignment="1">
      <alignment horizontal="center" wrapText="1"/>
    </xf>
    <xf numFmtId="1" fontId="27" fillId="15" borderId="46" xfId="0" applyNumberFormat="1" applyFont="1" applyFill="1" applyBorder="1" applyAlignment="1" applyProtection="1">
      <alignment horizontal="center"/>
      <protection hidden="1"/>
    </xf>
    <xf numFmtId="1" fontId="28" fillId="15" borderId="47" xfId="0" applyNumberFormat="1" applyFont="1" applyFill="1" applyBorder="1" applyAlignment="1" applyProtection="1">
      <alignment horizontal="center"/>
      <protection hidden="1"/>
    </xf>
    <xf numFmtId="1" fontId="27" fillId="0" borderId="46" xfId="0" applyNumberFormat="1" applyFont="1" applyFill="1" applyBorder="1" applyAlignment="1" applyProtection="1">
      <alignment horizontal="center"/>
      <protection hidden="1"/>
    </xf>
    <xf numFmtId="1" fontId="28" fillId="0" borderId="46" xfId="0" applyNumberFormat="1" applyFont="1" applyFill="1" applyBorder="1" applyAlignment="1" applyProtection="1">
      <alignment horizontal="center"/>
      <protection hidden="1"/>
    </xf>
    <xf numFmtId="1" fontId="1" fillId="15" borderId="47" xfId="0" applyNumberFormat="1" applyFont="1" applyFill="1" applyBorder="1" applyAlignment="1" applyProtection="1">
      <alignment horizontal="center"/>
      <protection hidden="1"/>
    </xf>
    <xf numFmtId="1" fontId="1" fillId="0" borderId="46" xfId="0" applyNumberFormat="1" applyFont="1" applyFill="1" applyBorder="1" applyAlignment="1" applyProtection="1">
      <alignment horizontal="center" shrinkToFit="1"/>
      <protection hidden="1"/>
    </xf>
    <xf numFmtId="1" fontId="1" fillId="0" borderId="47" xfId="0" applyNumberFormat="1" applyFont="1" applyFill="1" applyBorder="1" applyAlignment="1" applyProtection="1">
      <alignment horizontal="center"/>
      <protection hidden="1"/>
    </xf>
    <xf numFmtId="1" fontId="1" fillId="15" borderId="46" xfId="0" applyNumberFormat="1" applyFont="1" applyFill="1" applyBorder="1" applyAlignment="1" applyProtection="1">
      <alignment horizontal="center" shrinkToFit="1"/>
      <protection hidden="1"/>
    </xf>
    <xf numFmtId="1" fontId="17" fillId="6" borderId="9" xfId="0" applyNumberFormat="1" applyFont="1" applyFill="1" applyBorder="1" applyAlignment="1" applyProtection="1">
      <alignment horizontal="center"/>
      <protection hidden="1"/>
    </xf>
    <xf numFmtId="1" fontId="17" fillId="15" borderId="9" xfId="0" applyNumberFormat="1" applyFont="1" applyFill="1" applyBorder="1" applyAlignment="1" applyProtection="1">
      <alignment horizontal="center"/>
      <protection hidden="1"/>
    </xf>
    <xf numFmtId="1" fontId="17" fillId="15" borderId="48" xfId="0" applyNumberFormat="1" applyFont="1" applyFill="1" applyBorder="1" applyAlignment="1" applyProtection="1">
      <alignment horizontal="center"/>
      <protection hidden="1"/>
    </xf>
    <xf numFmtId="1" fontId="17" fillId="6" borderId="48" xfId="0" applyNumberFormat="1" applyFont="1" applyFill="1" applyBorder="1" applyAlignment="1" applyProtection="1">
      <alignment horizontal="center"/>
      <protection hidden="1"/>
    </xf>
    <xf numFmtId="0" fontId="0" fillId="2" borderId="0" xfId="0" applyFill="1" applyAlignment="1">
      <alignment horizontal="center"/>
    </xf>
    <xf numFmtId="0" fontId="0" fillId="16" borderId="0" xfId="0" applyFill="1"/>
    <xf numFmtId="0" fontId="29" fillId="17" borderId="0" xfId="0" applyFont="1" applyFill="1" applyAlignment="1">
      <alignment horizontal="left"/>
    </xf>
    <xf numFmtId="0" fontId="29" fillId="17" borderId="0" xfId="0" applyFont="1" applyFill="1"/>
    <xf numFmtId="0" fontId="30" fillId="16" borderId="0" xfId="0" applyFont="1" applyFill="1" applyAlignment="1">
      <alignment horizontal="left"/>
    </xf>
    <xf numFmtId="0" fontId="30" fillId="16" borderId="0" xfId="0" applyFont="1" applyFill="1"/>
    <xf numFmtId="0" fontId="30" fillId="18" borderId="0" xfId="0" applyFont="1" applyFill="1" applyAlignment="1">
      <alignment horizontal="left"/>
    </xf>
    <xf numFmtId="0" fontId="30" fillId="16" borderId="49" xfId="0" applyFont="1" applyFill="1" applyBorder="1" applyAlignment="1">
      <alignment horizontal="left"/>
    </xf>
    <xf numFmtId="0" fontId="30" fillId="16" borderId="49" xfId="0" applyFont="1" applyFill="1" applyBorder="1"/>
    <xf numFmtId="0" fontId="30" fillId="18" borderId="49" xfId="0" applyFont="1" applyFill="1" applyBorder="1" applyAlignment="1">
      <alignment horizontal="left"/>
    </xf>
    <xf numFmtId="0" fontId="30" fillId="18" borderId="49" xfId="0" applyFont="1" applyFill="1" applyBorder="1"/>
    <xf numFmtId="0" fontId="30" fillId="19" borderId="0" xfId="0" applyFont="1" applyFill="1" applyAlignment="1">
      <alignment horizontal="left"/>
    </xf>
    <xf numFmtId="0" fontId="31" fillId="19" borderId="49" xfId="0" applyFont="1" applyFill="1" applyBorder="1" applyAlignment="1">
      <alignment horizontal="left"/>
    </xf>
    <xf numFmtId="0" fontId="30" fillId="20" borderId="0" xfId="0" applyFont="1" applyFill="1" applyAlignment="1">
      <alignment horizontal="left"/>
    </xf>
    <xf numFmtId="0" fontId="30" fillId="19" borderId="50" xfId="0" applyFont="1" applyFill="1" applyBorder="1" applyAlignment="1"/>
    <xf numFmtId="0" fontId="30" fillId="19" borderId="49" xfId="0" applyFont="1" applyFill="1" applyBorder="1" applyAlignment="1"/>
    <xf numFmtId="3" fontId="30" fillId="19" borderId="50" xfId="0" applyNumberFormat="1" applyFont="1" applyFill="1" applyBorder="1" applyAlignment="1"/>
    <xf numFmtId="3" fontId="30" fillId="19" borderId="49" xfId="0" applyNumberFormat="1" applyFont="1" applyFill="1" applyBorder="1" applyAlignment="1"/>
    <xf numFmtId="0" fontId="30" fillId="20" borderId="50" xfId="0" applyFont="1" applyFill="1" applyBorder="1" applyAlignment="1"/>
    <xf numFmtId="3" fontId="30" fillId="16" borderId="0" xfId="0" applyNumberFormat="1" applyFont="1" applyFill="1" applyAlignment="1"/>
    <xf numFmtId="0" fontId="30" fillId="19" borderId="49" xfId="0" applyFont="1" applyFill="1" applyBorder="1" applyAlignment="1">
      <alignment horizontal="left"/>
    </xf>
    <xf numFmtId="0" fontId="30" fillId="19" borderId="49" xfId="0" applyFont="1" applyFill="1" applyBorder="1"/>
    <xf numFmtId="0" fontId="32" fillId="19" borderId="0" xfId="0" applyFont="1" applyFill="1" applyAlignment="1">
      <alignment horizontal="left"/>
    </xf>
    <xf numFmtId="0" fontId="30" fillId="18" borderId="50" xfId="0" applyFont="1" applyFill="1" applyBorder="1" applyAlignment="1"/>
    <xf numFmtId="0" fontId="29" fillId="17" borderId="0" xfId="0" applyFont="1" applyFill="1" applyAlignment="1"/>
    <xf numFmtId="0" fontId="30" fillId="16" borderId="51" xfId="0" applyFont="1" applyFill="1" applyBorder="1" applyAlignment="1"/>
    <xf numFmtId="0" fontId="29" fillId="17" borderId="50" xfId="0" applyFont="1" applyFill="1" applyBorder="1" applyAlignment="1"/>
    <xf numFmtId="0" fontId="29" fillId="17" borderId="0" xfId="0" applyFont="1" applyFill="1" applyBorder="1" applyAlignment="1"/>
    <xf numFmtId="3" fontId="0" fillId="0" borderId="0" xfId="0" applyNumberFormat="1"/>
    <xf numFmtId="0" fontId="24" fillId="3" borderId="0" xfId="0" applyFont="1" applyFill="1" applyAlignment="1">
      <alignment horizontal="center"/>
    </xf>
    <xf numFmtId="3" fontId="17" fillId="12" borderId="24" xfId="1" applyNumberFormat="1" applyFont="1"/>
    <xf numFmtId="0" fontId="1" fillId="2" borderId="0" xfId="0" applyFont="1" applyFill="1" applyAlignment="1">
      <alignment horizontal="center"/>
    </xf>
    <xf numFmtId="0" fontId="0" fillId="13" borderId="0" xfId="0" applyFill="1" applyAlignment="1">
      <alignment horizontal="right"/>
    </xf>
    <xf numFmtId="0" fontId="14" fillId="0" borderId="0" xfId="0" applyFont="1"/>
    <xf numFmtId="0" fontId="0" fillId="0" borderId="0" xfId="0" applyFont="1"/>
    <xf numFmtId="2" fontId="14" fillId="0" borderId="0" xfId="0" applyNumberFormat="1" applyFont="1" applyFill="1" applyBorder="1"/>
    <xf numFmtId="0" fontId="1" fillId="0" borderId="0" xfId="0" applyFont="1" applyFill="1" applyAlignment="1">
      <alignment horizontal="center"/>
    </xf>
    <xf numFmtId="0" fontId="0" fillId="13" borderId="0" xfId="0" applyFont="1" applyFill="1"/>
    <xf numFmtId="0" fontId="33" fillId="3" borderId="0" xfId="0" applyFont="1" applyFill="1"/>
    <xf numFmtId="0" fontId="34" fillId="0" borderId="27" xfId="2" applyFill="1" applyBorder="1"/>
    <xf numFmtId="0" fontId="34" fillId="0" borderId="55" xfId="2" applyFill="1" applyBorder="1"/>
    <xf numFmtId="0" fontId="34" fillId="0" borderId="28" xfId="2" applyFill="1" applyBorder="1"/>
    <xf numFmtId="0" fontId="35" fillId="0" borderId="0" xfId="3" applyAlignment="1" applyProtection="1"/>
    <xf numFmtId="0" fontId="36" fillId="3" borderId="0" xfId="3" applyFont="1" applyFill="1" applyAlignment="1" applyProtection="1"/>
    <xf numFmtId="0" fontId="0" fillId="2" borderId="0" xfId="0" applyFill="1" applyAlignment="1">
      <alignment wrapText="1"/>
    </xf>
    <xf numFmtId="0" fontId="0" fillId="2" borderId="0" xfId="0" applyFill="1" applyAlignment="1">
      <alignment horizontal="center" wrapText="1"/>
    </xf>
    <xf numFmtId="0" fontId="37" fillId="0" borderId="0" xfId="0" applyFont="1"/>
    <xf numFmtId="0" fontId="38" fillId="0" borderId="0" xfId="0" applyFont="1" applyAlignment="1">
      <alignment horizontal="right"/>
    </xf>
    <xf numFmtId="0" fontId="17" fillId="0" borderId="0" xfId="0" applyFont="1" applyFill="1"/>
    <xf numFmtId="9" fontId="14" fillId="0" borderId="0" xfId="0" applyNumberFormat="1" applyFont="1" applyFill="1"/>
    <xf numFmtId="0" fontId="14" fillId="0" borderId="0" xfId="0" applyNumberFormat="1" applyFont="1" applyFill="1"/>
    <xf numFmtId="0" fontId="17" fillId="12" borderId="24" xfId="1" applyFont="1"/>
    <xf numFmtId="10" fontId="17" fillId="12" borderId="24" xfId="1" applyNumberFormat="1" applyFont="1"/>
    <xf numFmtId="0" fontId="1" fillId="12" borderId="44" xfId="1" applyFont="1" applyBorder="1" applyAlignment="1">
      <alignment horizontal="right"/>
    </xf>
    <xf numFmtId="0" fontId="12" fillId="12" borderId="24" xfId="1" applyAlignment="1">
      <alignment horizontal="right"/>
    </xf>
    <xf numFmtId="0" fontId="17" fillId="12" borderId="24" xfId="1" applyFont="1" applyAlignment="1">
      <alignment horizontal="right"/>
    </xf>
    <xf numFmtId="0" fontId="16" fillId="2" borderId="0" xfId="0" applyFont="1" applyFill="1"/>
    <xf numFmtId="0" fontId="40" fillId="2" borderId="56" xfId="0" applyFont="1" applyFill="1" applyBorder="1" applyAlignment="1">
      <alignment horizontal="center" vertical="top" wrapText="1"/>
    </xf>
    <xf numFmtId="0" fontId="40" fillId="2" borderId="57" xfId="0" applyFont="1" applyFill="1" applyBorder="1" applyAlignment="1">
      <alignment horizontal="center" vertical="top" wrapText="1"/>
    </xf>
    <xf numFmtId="0" fontId="41" fillId="2" borderId="58" xfId="0" applyFont="1" applyFill="1" applyBorder="1" applyAlignment="1">
      <alignment vertical="top" wrapText="1"/>
    </xf>
    <xf numFmtId="0" fontId="42" fillId="2" borderId="59" xfId="0" applyFont="1" applyFill="1" applyBorder="1" applyAlignment="1">
      <alignment horizontal="center" vertical="top" wrapText="1"/>
    </xf>
    <xf numFmtId="0" fontId="39" fillId="2" borderId="58" xfId="0" applyFont="1" applyFill="1" applyBorder="1" applyAlignment="1">
      <alignment vertical="top" wrapText="1"/>
    </xf>
    <xf numFmtId="0" fontId="39" fillId="2" borderId="58" xfId="0" applyFont="1" applyFill="1" applyBorder="1" applyAlignment="1">
      <alignment wrapText="1"/>
    </xf>
    <xf numFmtId="0" fontId="43" fillId="2" borderId="58" xfId="0" applyFont="1" applyFill="1" applyBorder="1" applyAlignment="1">
      <alignment wrapText="1"/>
    </xf>
    <xf numFmtId="0" fontId="44" fillId="2" borderId="58" xfId="0" applyFont="1" applyFill="1" applyBorder="1" applyAlignment="1">
      <alignment vertical="top" wrapText="1"/>
    </xf>
    <xf numFmtId="0" fontId="41" fillId="2" borderId="60" xfId="0" applyFont="1" applyFill="1" applyBorder="1" applyAlignment="1">
      <alignment vertical="top" wrapText="1"/>
    </xf>
    <xf numFmtId="0" fontId="45" fillId="2" borderId="58" xfId="0" applyFont="1" applyFill="1" applyBorder="1" applyAlignment="1">
      <alignment vertical="top" wrapText="1"/>
    </xf>
    <xf numFmtId="0" fontId="44" fillId="2" borderId="60" xfId="0" applyFont="1" applyFill="1" applyBorder="1" applyAlignment="1">
      <alignment vertical="top" wrapText="1"/>
    </xf>
    <xf numFmtId="0" fontId="46" fillId="2" borderId="58" xfId="0" applyFont="1" applyFill="1" applyBorder="1" applyAlignment="1">
      <alignment vertical="top" wrapText="1"/>
    </xf>
    <xf numFmtId="0" fontId="42" fillId="6" borderId="59" xfId="0" applyFont="1" applyFill="1" applyBorder="1" applyAlignment="1">
      <alignment horizontal="center" vertical="top" wrapText="1"/>
    </xf>
    <xf numFmtId="0" fontId="42" fillId="6" borderId="0" xfId="0" applyFont="1" applyFill="1" applyBorder="1" applyAlignment="1">
      <alignment horizontal="center" vertical="top" wrapText="1"/>
    </xf>
    <xf numFmtId="0" fontId="12" fillId="12" borderId="24" xfId="1" applyAlignment="1">
      <alignment horizontal="left"/>
    </xf>
    <xf numFmtId="0" fontId="47" fillId="21" borderId="61" xfId="4"/>
    <xf numFmtId="0" fontId="0" fillId="13" borderId="62" xfId="0" applyFill="1" applyBorder="1"/>
    <xf numFmtId="0" fontId="35" fillId="0" borderId="0" xfId="3" applyFill="1" applyAlignment="1" applyProtection="1">
      <alignment horizontal="center"/>
    </xf>
    <xf numFmtId="0" fontId="35" fillId="3" borderId="0" xfId="3" applyFill="1" applyAlignment="1" applyProtection="1">
      <alignment horizontal="center"/>
    </xf>
    <xf numFmtId="49" fontId="0" fillId="0" borderId="0" xfId="0" applyNumberFormat="1"/>
    <xf numFmtId="0" fontId="0" fillId="0" borderId="0" xfId="0" applyNumberFormat="1"/>
    <xf numFmtId="0" fontId="0" fillId="2" borderId="63" xfId="0" applyFill="1" applyBorder="1"/>
    <xf numFmtId="0" fontId="0" fillId="13" borderId="64" xfId="0" applyFill="1" applyBorder="1"/>
    <xf numFmtId="0" fontId="0" fillId="2" borderId="65" xfId="0" applyFill="1" applyBorder="1"/>
    <xf numFmtId="0" fontId="11" fillId="2" borderId="66" xfId="0" applyFont="1" applyFill="1" applyBorder="1" applyAlignment="1">
      <alignment horizontal="center" vertical="center"/>
    </xf>
    <xf numFmtId="0" fontId="0" fillId="2" borderId="67" xfId="0" applyFill="1" applyBorder="1" applyAlignment="1">
      <alignment horizontal="center" vertical="center"/>
    </xf>
    <xf numFmtId="0" fontId="16" fillId="2" borderId="67" xfId="0" applyFont="1" applyFill="1" applyBorder="1" applyAlignment="1">
      <alignment horizontal="center" vertical="center" wrapText="1"/>
    </xf>
    <xf numFmtId="0" fontId="16" fillId="2" borderId="67" xfId="0" applyFont="1" applyFill="1" applyBorder="1" applyAlignment="1">
      <alignment horizontal="center" wrapText="1"/>
    </xf>
    <xf numFmtId="0" fontId="0" fillId="13" borderId="68" xfId="0" applyFill="1" applyBorder="1"/>
    <xf numFmtId="0" fontId="17" fillId="12" borderId="53" xfId="1" applyFont="1" applyBorder="1"/>
    <xf numFmtId="0" fontId="17" fillId="12" borderId="0" xfId="1" applyFont="1" applyBorder="1"/>
    <xf numFmtId="0" fontId="35" fillId="0" borderId="0" xfId="3" applyAlignment="1" applyProtection="1">
      <alignment horizontal="center"/>
    </xf>
    <xf numFmtId="0" fontId="35" fillId="23" borderId="70" xfId="3" applyFill="1" applyBorder="1" applyAlignment="1" applyProtection="1">
      <alignment horizontal="center"/>
    </xf>
    <xf numFmtId="0" fontId="0" fillId="22" borderId="0" xfId="0" applyFill="1"/>
    <xf numFmtId="164" fontId="0" fillId="0" borderId="0" xfId="0" applyNumberFormat="1"/>
    <xf numFmtId="0" fontId="14" fillId="0" borderId="0" xfId="0" applyFont="1" applyFill="1" applyBorder="1" applyAlignment="1">
      <alignment horizontal="left"/>
    </xf>
    <xf numFmtId="0" fontId="14" fillId="0" borderId="0" xfId="0" applyNumberFormat="1" applyFont="1" applyFill="1" applyBorder="1"/>
    <xf numFmtId="0" fontId="1" fillId="12" borderId="0" xfId="1" applyFont="1" applyBorder="1" applyAlignment="1">
      <alignment horizontal="right"/>
    </xf>
    <xf numFmtId="0" fontId="35" fillId="23" borderId="72" xfId="3" applyFill="1" applyBorder="1" applyAlignment="1" applyProtection="1">
      <alignment horizontal="center"/>
    </xf>
    <xf numFmtId="0" fontId="0" fillId="2" borderId="73" xfId="0" applyFill="1" applyBorder="1" applyAlignment="1">
      <alignment horizontal="right"/>
    </xf>
    <xf numFmtId="0" fontId="0" fillId="13" borderId="73" xfId="0" applyFill="1" applyBorder="1"/>
    <xf numFmtId="0" fontId="0" fillId="0" borderId="33" xfId="0" applyBorder="1"/>
    <xf numFmtId="0" fontId="17" fillId="12" borderId="76" xfId="1" applyFont="1" applyBorder="1"/>
    <xf numFmtId="0" fontId="0" fillId="0" borderId="0" xfId="0" applyBorder="1"/>
    <xf numFmtId="0" fontId="0" fillId="0" borderId="37" xfId="0" applyBorder="1"/>
    <xf numFmtId="0" fontId="0" fillId="13" borderId="77" xfId="0" applyFill="1" applyBorder="1"/>
    <xf numFmtId="0" fontId="0" fillId="2" borderId="32" xfId="0" applyFill="1" applyBorder="1" applyAlignment="1">
      <alignment horizontal="right" vertical="center"/>
    </xf>
    <xf numFmtId="0" fontId="1" fillId="12" borderId="78" xfId="1" applyFont="1" applyBorder="1"/>
    <xf numFmtId="165" fontId="1" fillId="12" borderId="24" xfId="1" applyNumberFormat="1" applyFont="1" applyAlignment="1">
      <alignment horizontal="left"/>
    </xf>
    <xf numFmtId="0" fontId="1" fillId="2" borderId="0" xfId="0" applyFont="1" applyFill="1" applyAlignment="1">
      <alignment horizontal="right"/>
    </xf>
    <xf numFmtId="0" fontId="0" fillId="6" borderId="0" xfId="0" applyFont="1" applyFill="1"/>
    <xf numFmtId="0" fontId="0" fillId="6" borderId="0" xfId="0" applyFont="1" applyFill="1" applyAlignment="1">
      <alignment wrapText="1"/>
    </xf>
    <xf numFmtId="0" fontId="0" fillId="6" borderId="0" xfId="0" applyFont="1" applyFill="1" applyAlignment="1">
      <alignment horizontal="center" wrapText="1"/>
    </xf>
    <xf numFmtId="0" fontId="1" fillId="6" borderId="24" xfId="1" applyFont="1" applyFill="1"/>
    <xf numFmtId="0" fontId="1" fillId="2" borderId="0" xfId="0" applyFont="1" applyFill="1"/>
    <xf numFmtId="0" fontId="0" fillId="2" borderId="68" xfId="0" applyFill="1" applyBorder="1"/>
    <xf numFmtId="0" fontId="17" fillId="13" borderId="69" xfId="1" applyFont="1" applyFill="1" applyBorder="1"/>
    <xf numFmtId="0" fontId="0" fillId="2" borderId="77" xfId="0" applyFill="1" applyBorder="1"/>
    <xf numFmtId="0" fontId="0" fillId="0" borderId="0" xfId="0" applyBorder="1" applyAlignment="1">
      <alignment horizontal="center" wrapText="1"/>
    </xf>
    <xf numFmtId="0" fontId="0" fillId="14" borderId="0" xfId="0" applyFill="1" applyBorder="1" applyAlignment="1">
      <alignment horizontal="center" wrapText="1"/>
    </xf>
    <xf numFmtId="0" fontId="21" fillId="0" borderId="13" xfId="0" applyNumberFormat="1" applyFont="1" applyFill="1" applyBorder="1" applyAlignment="1">
      <alignment wrapText="1"/>
    </xf>
    <xf numFmtId="0" fontId="21" fillId="0" borderId="14" xfId="0" applyFont="1" applyFill="1" applyBorder="1" applyAlignment="1">
      <alignment vertical="top" wrapText="1"/>
    </xf>
    <xf numFmtId="0" fontId="48" fillId="0" borderId="0" xfId="0" applyFont="1"/>
    <xf numFmtId="0" fontId="49" fillId="3" borderId="57" xfId="0" applyFont="1" applyFill="1" applyBorder="1" applyAlignment="1">
      <alignment horizontal="center" wrapText="1"/>
    </xf>
    <xf numFmtId="3" fontId="49" fillId="3" borderId="57" xfId="0" applyNumberFormat="1" applyFont="1" applyFill="1" applyBorder="1" applyAlignment="1">
      <alignment horizontal="center" wrapText="1"/>
    </xf>
    <xf numFmtId="0" fontId="50" fillId="24" borderId="58" xfId="0" applyFont="1" applyFill="1" applyBorder="1" applyAlignment="1">
      <alignment wrapText="1"/>
    </xf>
    <xf numFmtId="0" fontId="50" fillId="24" borderId="59" xfId="0" applyFont="1" applyFill="1" applyBorder="1" applyAlignment="1">
      <alignment horizontal="center" wrapText="1"/>
    </xf>
    <xf numFmtId="0" fontId="50" fillId="0" borderId="58" xfId="0" applyFont="1" applyBorder="1" applyAlignment="1">
      <alignment wrapText="1"/>
    </xf>
    <xf numFmtId="0" fontId="50" fillId="0" borderId="59" xfId="0" applyFont="1" applyBorder="1" applyAlignment="1">
      <alignment horizontal="center" wrapText="1"/>
    </xf>
    <xf numFmtId="0" fontId="6" fillId="0" borderId="0" xfId="0" applyFont="1"/>
    <xf numFmtId="0" fontId="6" fillId="0" borderId="0" xfId="0" applyFont="1" applyAlignment="1">
      <alignment horizontal="right"/>
    </xf>
    <xf numFmtId="0" fontId="1" fillId="14" borderId="0" xfId="0" applyFont="1" applyFill="1"/>
    <xf numFmtId="0" fontId="51" fillId="6" borderId="0" xfId="0" applyFont="1" applyFill="1"/>
    <xf numFmtId="14" fontId="0" fillId="6" borderId="0" xfId="0" applyNumberFormat="1" applyFont="1" applyFill="1"/>
    <xf numFmtId="16" fontId="0" fillId="6" borderId="0" xfId="0" applyNumberFormat="1" applyFont="1" applyFill="1"/>
    <xf numFmtId="0" fontId="17" fillId="0" borderId="0" xfId="0" applyFont="1" applyFill="1" applyBorder="1"/>
    <xf numFmtId="0" fontId="52" fillId="25" borderId="17" xfId="0" applyFont="1" applyFill="1" applyBorder="1" applyAlignment="1">
      <alignment wrapText="1"/>
    </xf>
    <xf numFmtId="0" fontId="52" fillId="25" borderId="16" xfId="0" applyFont="1" applyFill="1" applyBorder="1" applyAlignment="1">
      <alignment horizontal="right" wrapText="1"/>
    </xf>
    <xf numFmtId="0" fontId="53" fillId="0" borderId="14" xfId="0" applyFont="1" applyBorder="1" applyAlignment="1">
      <alignment wrapText="1"/>
    </xf>
    <xf numFmtId="0" fontId="53" fillId="0" borderId="13" xfId="0" applyFont="1" applyBorder="1" applyAlignment="1">
      <alignment horizontal="center" wrapText="1"/>
    </xf>
    <xf numFmtId="0" fontId="0" fillId="13" borderId="0" xfId="0" applyFont="1" applyFill="1" applyAlignment="1">
      <alignment horizontal="right"/>
    </xf>
    <xf numFmtId="0" fontId="54" fillId="0" borderId="0" xfId="3" applyFont="1" applyAlignment="1" applyProtection="1"/>
    <xf numFmtId="0" fontId="54" fillId="3" borderId="0" xfId="3" applyFont="1" applyFill="1" applyAlignment="1" applyProtection="1"/>
    <xf numFmtId="0" fontId="0" fillId="3" borderId="0" xfId="0" applyFont="1" applyFill="1"/>
    <xf numFmtId="0" fontId="0" fillId="0" borderId="0" xfId="0" applyFont="1" applyFill="1"/>
    <xf numFmtId="0" fontId="0" fillId="2" borderId="0" xfId="0" applyFont="1" applyFill="1" applyAlignment="1">
      <alignment horizontal="right"/>
    </xf>
    <xf numFmtId="0" fontId="0" fillId="2" borderId="0" xfId="0" applyFont="1" applyFill="1"/>
    <xf numFmtId="1" fontId="0" fillId="2" borderId="0" xfId="0" applyNumberFormat="1" applyFont="1" applyFill="1"/>
    <xf numFmtId="0" fontId="0" fillId="4" borderId="0" xfId="0" applyFont="1" applyFill="1"/>
    <xf numFmtId="0" fontId="0" fillId="0" borderId="0" xfId="0" applyFont="1" applyAlignment="1">
      <alignment horizontal="left"/>
    </xf>
    <xf numFmtId="0" fontId="0" fillId="0" borderId="0" xfId="0" applyFont="1" applyFill="1" applyAlignment="1">
      <alignment horizontal="left"/>
    </xf>
    <xf numFmtId="0" fontId="0" fillId="0" borderId="0" xfId="0" applyFont="1" applyAlignment="1">
      <alignment horizontal="right"/>
    </xf>
    <xf numFmtId="0" fontId="0" fillId="0" borderId="0" xfId="0" applyFont="1" applyAlignment="1">
      <alignment horizontal="center"/>
    </xf>
    <xf numFmtId="2" fontId="0" fillId="4" borderId="0" xfId="0" applyNumberFormat="1" applyFont="1" applyFill="1"/>
    <xf numFmtId="0" fontId="0" fillId="5" borderId="0" xfId="0" applyFont="1" applyFill="1"/>
    <xf numFmtId="0" fontId="0" fillId="6" borderId="0" xfId="0" applyFont="1" applyFill="1" applyAlignment="1">
      <alignment horizontal="right"/>
    </xf>
    <xf numFmtId="2" fontId="0" fillId="6" borderId="0" xfId="0" applyNumberFormat="1" applyFont="1" applyFill="1"/>
    <xf numFmtId="0" fontId="0" fillId="0" borderId="0" xfId="0" applyFont="1" applyFill="1" applyAlignment="1">
      <alignment horizontal="center"/>
    </xf>
    <xf numFmtId="0" fontId="1" fillId="0" borderId="0" xfId="0" applyFont="1" applyFill="1"/>
    <xf numFmtId="0" fontId="0" fillId="0" borderId="0" xfId="0" applyFont="1" applyFill="1" applyAlignment="1">
      <alignment horizontal="right"/>
    </xf>
    <xf numFmtId="1" fontId="0" fillId="4" borderId="0" xfId="0" applyNumberFormat="1" applyFont="1" applyFill="1"/>
    <xf numFmtId="0" fontId="0" fillId="7" borderId="0" xfId="0" applyFont="1" applyFill="1"/>
    <xf numFmtId="0" fontId="0" fillId="3" borderId="0" xfId="0" applyFont="1" applyFill="1" applyAlignment="1">
      <alignment horizontal="right"/>
    </xf>
    <xf numFmtId="0" fontId="0" fillId="2" borderId="0" xfId="0" quotePrefix="1" applyFont="1" applyFill="1"/>
    <xf numFmtId="0" fontId="0" fillId="8" borderId="0" xfId="0" applyFont="1" applyFill="1"/>
    <xf numFmtId="0" fontId="0" fillId="7" borderId="0" xfId="0" applyFont="1" applyFill="1" applyAlignment="1">
      <alignment vertical="center" wrapText="1"/>
    </xf>
    <xf numFmtId="0" fontId="0" fillId="9" borderId="2" xfId="0" applyFont="1" applyFill="1" applyBorder="1" applyAlignment="1">
      <alignment horizontal="center" vertical="center"/>
    </xf>
    <xf numFmtId="0" fontId="0" fillId="9" borderId="3" xfId="0" applyFont="1" applyFill="1" applyBorder="1" applyAlignment="1">
      <alignment horizontal="center" vertical="center"/>
    </xf>
    <xf numFmtId="0" fontId="0" fillId="9" borderId="0" xfId="0" applyFont="1" applyFill="1"/>
    <xf numFmtId="0" fontId="0" fillId="10" borderId="5" xfId="0" applyFont="1" applyFill="1" applyBorder="1" applyAlignment="1">
      <alignment horizontal="center" vertical="center"/>
    </xf>
    <xf numFmtId="0" fontId="0" fillId="11" borderId="11" xfId="0" applyFont="1" applyFill="1" applyBorder="1" applyAlignment="1">
      <alignment horizontal="center" vertical="center"/>
    </xf>
    <xf numFmtId="0" fontId="0" fillId="11" borderId="12" xfId="0" applyFont="1" applyFill="1" applyBorder="1" applyAlignment="1">
      <alignment horizontal="center" vertical="center"/>
    </xf>
    <xf numFmtId="0" fontId="0" fillId="11" borderId="44" xfId="0" applyFont="1" applyFill="1" applyBorder="1" applyAlignment="1">
      <alignment horizontal="center" vertical="center"/>
    </xf>
    <xf numFmtId="0" fontId="0" fillId="11" borderId="8" xfId="0" applyFont="1" applyFill="1" applyBorder="1" applyAlignment="1">
      <alignment horizontal="center" vertical="center"/>
    </xf>
    <xf numFmtId="0" fontId="0" fillId="11" borderId="9" xfId="0" applyFont="1" applyFill="1" applyBorder="1" applyAlignment="1">
      <alignment horizontal="center" vertical="center"/>
    </xf>
    <xf numFmtId="0" fontId="0" fillId="10" borderId="8" xfId="0" applyFont="1" applyFill="1" applyBorder="1" applyAlignment="1">
      <alignment horizontal="center" vertical="center"/>
    </xf>
    <xf numFmtId="0" fontId="0" fillId="10" borderId="9" xfId="0" applyFont="1" applyFill="1" applyBorder="1" applyAlignment="1">
      <alignment horizontal="center" vertical="center"/>
    </xf>
    <xf numFmtId="0" fontId="0" fillId="11" borderId="0" xfId="0" applyFont="1" applyFill="1" applyBorder="1" applyAlignment="1">
      <alignment horizontal="center" vertical="center"/>
    </xf>
    <xf numFmtId="0" fontId="27" fillId="0" borderId="0" xfId="0" applyFont="1" applyAlignment="1">
      <alignment horizontal="center" wrapText="1"/>
    </xf>
    <xf numFmtId="0" fontId="1" fillId="0" borderId="0" xfId="0" applyFont="1" applyAlignment="1">
      <alignment horizontal="right"/>
    </xf>
    <xf numFmtId="2" fontId="17" fillId="12" borderId="24" xfId="1" applyNumberFormat="1" applyFont="1"/>
    <xf numFmtId="0" fontId="14" fillId="12" borderId="24" xfId="1" applyFont="1"/>
    <xf numFmtId="2" fontId="14" fillId="12" borderId="24" xfId="1" applyNumberFormat="1" applyFont="1"/>
    <xf numFmtId="166" fontId="17" fillId="12" borderId="24" xfId="1" applyNumberFormat="1" applyFont="1"/>
    <xf numFmtId="1" fontId="0" fillId="0" borderId="0" xfId="0" applyNumberFormat="1"/>
    <xf numFmtId="1" fontId="14" fillId="0" borderId="0" xfId="0" applyNumberFormat="1" applyFont="1" applyFill="1"/>
    <xf numFmtId="0" fontId="0" fillId="13" borderId="0" xfId="0" applyFont="1" applyFill="1" applyAlignment="1">
      <alignment horizontal="center"/>
    </xf>
    <xf numFmtId="0" fontId="0" fillId="13" borderId="0" xfId="0" applyFill="1" applyAlignment="1">
      <alignment horizontal="left"/>
    </xf>
    <xf numFmtId="0" fontId="0" fillId="13" borderId="28" xfId="0" applyFill="1" applyBorder="1" applyAlignment="1">
      <alignment horizontal="center"/>
    </xf>
    <xf numFmtId="0" fontId="35" fillId="0" borderId="0" xfId="3" applyFill="1" applyBorder="1" applyAlignment="1" applyProtection="1"/>
    <xf numFmtId="1" fontId="0" fillId="2" borderId="0" xfId="0" applyNumberFormat="1" applyFill="1"/>
    <xf numFmtId="3" fontId="0" fillId="2" borderId="0" xfId="0" applyNumberFormat="1" applyFill="1" applyAlignment="1">
      <alignment wrapText="1"/>
    </xf>
    <xf numFmtId="3" fontId="30" fillId="2" borderId="0" xfId="0" applyNumberFormat="1" applyFont="1" applyFill="1" applyAlignment="1"/>
    <xf numFmtId="3" fontId="30" fillId="2" borderId="0" xfId="0" applyNumberFormat="1" applyFont="1" applyFill="1"/>
    <xf numFmtId="0" fontId="49" fillId="3" borderId="79" xfId="0" applyFont="1" applyFill="1" applyBorder="1" applyAlignment="1">
      <alignment wrapText="1"/>
    </xf>
    <xf numFmtId="0" fontId="49" fillId="3" borderId="57" xfId="0" applyFont="1" applyFill="1" applyBorder="1" applyAlignment="1">
      <alignment wrapText="1"/>
    </xf>
    <xf numFmtId="0" fontId="20" fillId="0" borderId="15" xfId="0" applyFont="1" applyFill="1" applyBorder="1" applyAlignment="1">
      <alignment wrapText="1"/>
    </xf>
    <xf numFmtId="0" fontId="20" fillId="0" borderId="19" xfId="0" applyFont="1" applyFill="1" applyBorder="1" applyAlignment="1">
      <alignment wrapText="1"/>
    </xf>
    <xf numFmtId="0" fontId="20" fillId="0" borderId="16" xfId="0" applyFont="1" applyFill="1" applyBorder="1" applyAlignment="1">
      <alignment wrapText="1"/>
    </xf>
    <xf numFmtId="0" fontId="21" fillId="0" borderId="22" xfId="0" applyFont="1" applyFill="1" applyBorder="1" applyAlignment="1">
      <alignment wrapText="1"/>
    </xf>
    <xf numFmtId="0" fontId="21" fillId="0" borderId="14" xfId="0" applyFont="1" applyFill="1" applyBorder="1" applyAlignment="1">
      <alignment wrapText="1"/>
    </xf>
    <xf numFmtId="0" fontId="21" fillId="0" borderId="15" xfId="0" applyFont="1" applyFill="1" applyBorder="1" applyAlignment="1">
      <alignment vertical="top" wrapText="1"/>
    </xf>
    <xf numFmtId="0" fontId="21" fillId="0" borderId="19" xfId="0" applyFont="1" applyFill="1" applyBorder="1" applyAlignment="1">
      <alignment vertical="top" wrapText="1"/>
    </xf>
    <xf numFmtId="0" fontId="21" fillId="0" borderId="16" xfId="0" applyFont="1" applyFill="1" applyBorder="1" applyAlignment="1">
      <alignment vertical="top" wrapText="1"/>
    </xf>
    <xf numFmtId="0" fontId="11" fillId="0" borderId="0" xfId="0" applyFont="1" applyAlignment="1">
      <alignment horizontal="center" wrapText="1"/>
    </xf>
    <xf numFmtId="0" fontId="1" fillId="12" borderId="52" xfId="1" applyFont="1" applyBorder="1" applyAlignment="1">
      <alignment horizontal="center"/>
    </xf>
    <xf numFmtId="0" fontId="1" fillId="12" borderId="0" xfId="1" applyFont="1" applyBorder="1" applyAlignment="1">
      <alignment horizontal="center"/>
    </xf>
    <xf numFmtId="0" fontId="1" fillId="12" borderId="53" xfId="1" applyFont="1" applyBorder="1" applyAlignment="1">
      <alignment horizontal="right"/>
    </xf>
    <xf numFmtId="0" fontId="1" fillId="12" borderId="54" xfId="1" applyFont="1" applyBorder="1" applyAlignment="1">
      <alignment horizontal="right"/>
    </xf>
    <xf numFmtId="0" fontId="0" fillId="13" borderId="74" xfId="0" applyFill="1" applyBorder="1" applyAlignment="1">
      <alignment horizontal="center"/>
    </xf>
    <xf numFmtId="0" fontId="0" fillId="13" borderId="71" xfId="0" applyFill="1" applyBorder="1" applyAlignment="1">
      <alignment horizontal="center"/>
    </xf>
    <xf numFmtId="0" fontId="0" fillId="13" borderId="75" xfId="0" applyFill="1"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11" borderId="8" xfId="0" applyFill="1" applyBorder="1" applyAlignment="1">
      <alignment horizontal="center" vertical="center"/>
    </xf>
    <xf numFmtId="0" fontId="0" fillId="11" borderId="9" xfId="0" applyFill="1" applyBorder="1" applyAlignment="1">
      <alignment horizontal="center" vertical="center"/>
    </xf>
    <xf numFmtId="0" fontId="0" fillId="10" borderId="8" xfId="0" applyFill="1" applyBorder="1" applyAlignment="1">
      <alignment horizontal="center" vertical="center"/>
    </xf>
    <xf numFmtId="0" fontId="0" fillId="10" borderId="9" xfId="0" applyFill="1" applyBorder="1" applyAlignment="1">
      <alignment horizontal="center" vertical="center"/>
    </xf>
    <xf numFmtId="0" fontId="21" fillId="0" borderId="15" xfId="0" applyFont="1" applyFill="1" applyBorder="1" applyAlignment="1">
      <alignment wrapText="1"/>
    </xf>
    <xf numFmtId="0" fontId="21" fillId="0" borderId="19" xfId="0" applyFont="1" applyFill="1" applyBorder="1" applyAlignment="1">
      <alignment wrapText="1"/>
    </xf>
    <xf numFmtId="0" fontId="21" fillId="0" borderId="16" xfId="0" applyFont="1" applyFill="1" applyBorder="1" applyAlignment="1">
      <alignment wrapText="1"/>
    </xf>
    <xf numFmtId="0" fontId="1" fillId="0" borderId="0" xfId="0" applyFont="1" applyAlignment="1">
      <alignment horizontal="center" vertical="top" wrapText="1"/>
    </xf>
    <xf numFmtId="0" fontId="0" fillId="0" borderId="0" xfId="0" applyFont="1" applyAlignment="1">
      <alignment horizontal="center"/>
    </xf>
    <xf numFmtId="0" fontId="0" fillId="3" borderId="0" xfId="0" applyFont="1" applyFill="1" applyAlignment="1">
      <alignment horizontal="center"/>
    </xf>
    <xf numFmtId="0" fontId="0" fillId="2" borderId="0" xfId="0" applyFont="1" applyFill="1" applyAlignment="1">
      <alignment horizontal="center"/>
    </xf>
    <xf numFmtId="0" fontId="0" fillId="7" borderId="0" xfId="0" applyFont="1" applyFill="1" applyAlignment="1">
      <alignment horizontal="center"/>
    </xf>
    <xf numFmtId="0" fontId="0" fillId="8" borderId="0" xfId="0" applyFont="1" applyFill="1" applyAlignment="1">
      <alignment horizontal="center" vertical="center" wrapText="1"/>
    </xf>
    <xf numFmtId="0" fontId="0" fillId="0" borderId="15" xfId="0" applyBorder="1" applyAlignment="1">
      <alignment horizontal="center" wrapText="1"/>
    </xf>
    <xf numFmtId="0" fontId="0" fillId="0" borderId="16" xfId="0" applyBorder="1" applyAlignment="1">
      <alignment horizontal="center" wrapText="1"/>
    </xf>
    <xf numFmtId="0" fontId="36" fillId="3" borderId="0" xfId="3" applyFont="1" applyFill="1" applyAlignment="1" applyProtection="1">
      <alignment horizontal="center"/>
    </xf>
    <xf numFmtId="0" fontId="4" fillId="0" borderId="0" xfId="0" applyFont="1" applyFill="1" applyAlignment="1">
      <alignment horizontal="center" vertical="center" wrapText="1"/>
    </xf>
    <xf numFmtId="0" fontId="23" fillId="0" borderId="0" xfId="0" applyFont="1" applyFill="1" applyAlignment="1">
      <alignment horizontal="center"/>
    </xf>
    <xf numFmtId="0" fontId="4" fillId="0" borderId="0" xfId="0" applyFont="1" applyFill="1" applyAlignment="1">
      <alignment horizontal="center"/>
    </xf>
    <xf numFmtId="0" fontId="17" fillId="0" borderId="0" xfId="0" applyFont="1" applyFill="1" applyAlignment="1">
      <alignment horizontal="center" vertical="top" wrapText="1"/>
    </xf>
  </cellXfs>
  <cellStyles count="5">
    <cellStyle name="Вывод" xfId="4" builtinId="21"/>
    <cellStyle name="Гиперссылка" xfId="3" builtinId="8"/>
    <cellStyle name="Контрольная ячейка" xfId="1" builtinId="23"/>
    <cellStyle name="Обычный" xfId="0" builtinId="0"/>
    <cellStyle name="Пояснение" xfId="2" builtinId="53"/>
  </cellStyles>
  <dxfs count="0"/>
  <tableStyles count="0" defaultTableStyle="TableStyleMedium9" defaultPivotStyle="PivotStyleLight16"/>
  <colors>
    <mruColors>
      <color rgb="FF7DFF7D"/>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hyperlink" Target="http://www.re-odin.ru/read/help-price/h-shirikoformat.htm" TargetMode="External"/><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re-odin.ru/read/help-price/h-ofsetprice.htm" TargetMode="External"/><Relationship Id="rId2" Type="http://schemas.openxmlformats.org/officeDocument/2006/relationships/hyperlink" Target="http://www.re-odin.ru/read/help-price/h-risoprice.htm" TargetMode="External"/><Relationship Id="rId1" Type="http://schemas.openxmlformats.org/officeDocument/2006/relationships/hyperlink" Target="http://www.re-odin.ru/read/help-price/h-cifraprice.ht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s://market.yandex.ru/product--belaia-samokleiashchaiasia-bumaga-a4-matovaia/1835474232?sku=101921082552&amp;cpa=1&amp;uniqueId=51683332"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P77"/>
  <sheetViews>
    <sheetView topLeftCell="A10" workbookViewId="0">
      <selection activeCell="C20" sqref="C20"/>
    </sheetView>
  </sheetViews>
  <sheetFormatPr defaultRowHeight="15"/>
  <cols>
    <col min="1" max="1" width="22.85546875" customWidth="1"/>
    <col min="2" max="2" width="17" customWidth="1"/>
    <col min="15" max="15" width="7.5703125" customWidth="1"/>
    <col min="16" max="16" width="12.140625" customWidth="1"/>
    <col min="17" max="17" width="6.85546875" customWidth="1"/>
    <col min="18" max="18" width="12.140625" customWidth="1"/>
    <col min="19" max="19" width="12.140625" bestFit="1" customWidth="1"/>
  </cols>
  <sheetData>
    <row r="1" spans="1:16" ht="15.75">
      <c r="A1" s="188" t="s">
        <v>722</v>
      </c>
      <c r="B1" s="188" t="s">
        <v>731</v>
      </c>
      <c r="C1" s="188" t="s">
        <v>742</v>
      </c>
      <c r="G1" s="192" t="s">
        <v>780</v>
      </c>
    </row>
    <row r="2" spans="1:16" ht="15.75">
      <c r="A2" s="188" t="s">
        <v>411</v>
      </c>
      <c r="B2" s="188" t="s">
        <v>732</v>
      </c>
      <c r="C2" s="188" t="s">
        <v>467</v>
      </c>
      <c r="G2" s="192" t="s">
        <v>781</v>
      </c>
    </row>
    <row r="3" spans="1:16" ht="15.75">
      <c r="A3" s="188" t="s">
        <v>723</v>
      </c>
      <c r="B3" s="188" t="s">
        <v>733</v>
      </c>
      <c r="C3" s="188" t="s">
        <v>743</v>
      </c>
      <c r="G3" s="192" t="s">
        <v>782</v>
      </c>
    </row>
    <row r="4" spans="1:16">
      <c r="A4" s="188" t="s">
        <v>724</v>
      </c>
      <c r="B4" s="188" t="s">
        <v>734</v>
      </c>
      <c r="C4" s="188" t="s">
        <v>907</v>
      </c>
      <c r="O4" s="253" t="s">
        <v>637</v>
      </c>
      <c r="P4" s="253"/>
    </row>
    <row r="5" spans="1:16">
      <c r="A5" s="188" t="s">
        <v>725</v>
      </c>
      <c r="B5" s="188" t="s">
        <v>735</v>
      </c>
      <c r="C5" s="188" t="s">
        <v>744</v>
      </c>
      <c r="O5" s="253" t="s">
        <v>638</v>
      </c>
      <c r="P5" s="275">
        <v>104</v>
      </c>
    </row>
    <row r="6" spans="1:16" ht="15.75">
      <c r="A6" s="188" t="s">
        <v>726</v>
      </c>
      <c r="B6" s="188" t="s">
        <v>736</v>
      </c>
      <c r="C6" s="188" t="s">
        <v>866</v>
      </c>
      <c r="G6" s="192"/>
      <c r="O6" s="277" t="s">
        <v>630</v>
      </c>
      <c r="P6" s="275">
        <v>115</v>
      </c>
    </row>
    <row r="7" spans="1:16" ht="15.75">
      <c r="A7" s="188" t="s">
        <v>727</v>
      </c>
      <c r="B7" s="188" t="s">
        <v>1287</v>
      </c>
      <c r="C7" s="188" t="s">
        <v>745</v>
      </c>
      <c r="G7" s="192"/>
      <c r="O7" s="253" t="s">
        <v>636</v>
      </c>
      <c r="P7" s="276">
        <v>44270</v>
      </c>
    </row>
    <row r="8" spans="1:16" ht="15.75" thickBot="1">
      <c r="A8" s="188" t="s">
        <v>728</v>
      </c>
      <c r="B8" s="188" t="s">
        <v>737</v>
      </c>
      <c r="C8" s="188" t="s">
        <v>749</v>
      </c>
      <c r="F8" t="s">
        <v>1024</v>
      </c>
    </row>
    <row r="9" spans="1:16" ht="16.5" thickTop="1" thickBot="1">
      <c r="A9" s="188" t="s">
        <v>729</v>
      </c>
      <c r="B9" s="188" t="s">
        <v>738</v>
      </c>
      <c r="C9" t="s">
        <v>960</v>
      </c>
      <c r="F9" s="42" t="s">
        <v>1241</v>
      </c>
    </row>
    <row r="10" spans="1:16" ht="15.75" thickTop="1">
      <c r="A10" s="188" t="s">
        <v>730</v>
      </c>
      <c r="B10" s="188" t="s">
        <v>739</v>
      </c>
      <c r="F10" s="274" t="s">
        <v>1242</v>
      </c>
    </row>
    <row r="11" spans="1:16">
      <c r="A11" s="188" t="s">
        <v>746</v>
      </c>
      <c r="B11" s="188" t="s">
        <v>740</v>
      </c>
      <c r="F11" t="s">
        <v>777</v>
      </c>
    </row>
    <row r="12" spans="1:16">
      <c r="A12" s="188" t="s">
        <v>891</v>
      </c>
      <c r="B12" s="188" t="s">
        <v>741</v>
      </c>
      <c r="F12" t="s">
        <v>778</v>
      </c>
    </row>
    <row r="13" spans="1:16">
      <c r="A13" s="188"/>
      <c r="B13" s="188"/>
      <c r="F13" t="s">
        <v>779</v>
      </c>
    </row>
    <row r="15" spans="1:16">
      <c r="F15" s="193" t="s">
        <v>783</v>
      </c>
      <c r="G15" t="s">
        <v>784</v>
      </c>
    </row>
    <row r="16" spans="1:16">
      <c r="B16" s="72" t="s">
        <v>748</v>
      </c>
    </row>
    <row r="17" spans="2:11">
      <c r="B17" s="72"/>
    </row>
    <row r="18" spans="2:11">
      <c r="B18" s="72" t="s">
        <v>1377</v>
      </c>
      <c r="C18" t="s">
        <v>1379</v>
      </c>
    </row>
    <row r="19" spans="2:11">
      <c r="B19" s="72" t="s">
        <v>1377</v>
      </c>
      <c r="C19" t="s">
        <v>1378</v>
      </c>
    </row>
    <row r="20" spans="2:11">
      <c r="B20" s="72" t="s">
        <v>1371</v>
      </c>
      <c r="C20" t="s">
        <v>1373</v>
      </c>
    </row>
    <row r="21" spans="2:11">
      <c r="B21" s="72" t="s">
        <v>1371</v>
      </c>
      <c r="C21" t="s">
        <v>1372</v>
      </c>
    </row>
    <row r="22" spans="2:11">
      <c r="B22" s="72" t="s">
        <v>1360</v>
      </c>
      <c r="C22">
        <v>48</v>
      </c>
      <c r="D22" t="s">
        <v>1307</v>
      </c>
      <c r="E22" t="s">
        <v>1350</v>
      </c>
      <c r="F22">
        <v>0</v>
      </c>
      <c r="G22" t="s">
        <v>272</v>
      </c>
      <c r="H22">
        <v>200</v>
      </c>
    </row>
    <row r="23" spans="2:11">
      <c r="B23" s="72" t="s">
        <v>1360</v>
      </c>
      <c r="C23">
        <v>49</v>
      </c>
      <c r="D23" t="s">
        <v>892</v>
      </c>
      <c r="E23" t="s">
        <v>186</v>
      </c>
      <c r="F23">
        <v>0</v>
      </c>
      <c r="G23" t="s">
        <v>215</v>
      </c>
      <c r="H23">
        <v>250</v>
      </c>
    </row>
    <row r="24" spans="2:11">
      <c r="B24" s="72" t="s">
        <v>1347</v>
      </c>
      <c r="C24" t="s">
        <v>1339</v>
      </c>
      <c r="E24" t="s">
        <v>207</v>
      </c>
      <c r="G24">
        <v>0</v>
      </c>
      <c r="H24" t="s">
        <v>1264</v>
      </c>
      <c r="K24">
        <v>270</v>
      </c>
    </row>
    <row r="25" spans="2:11">
      <c r="B25" s="72"/>
    </row>
    <row r="26" spans="2:11">
      <c r="B26" s="72" t="s">
        <v>1347</v>
      </c>
      <c r="C26" t="s">
        <v>1343</v>
      </c>
      <c r="E26" t="s">
        <v>1344</v>
      </c>
      <c r="G26">
        <v>0</v>
      </c>
      <c r="H26" t="s">
        <v>272</v>
      </c>
      <c r="K26">
        <v>300</v>
      </c>
    </row>
    <row r="27" spans="2:11">
      <c r="B27" s="72" t="s">
        <v>1347</v>
      </c>
      <c r="C27" t="s">
        <v>1345</v>
      </c>
      <c r="E27" t="s">
        <v>1342</v>
      </c>
      <c r="G27">
        <v>0</v>
      </c>
      <c r="H27" t="s">
        <v>272</v>
      </c>
      <c r="K27">
        <v>270</v>
      </c>
    </row>
    <row r="28" spans="2:11">
      <c r="B28" s="72" t="s">
        <v>1347</v>
      </c>
      <c r="C28" t="s">
        <v>1340</v>
      </c>
      <c r="E28" t="s">
        <v>1342</v>
      </c>
      <c r="G28">
        <v>0</v>
      </c>
      <c r="H28" t="s">
        <v>1346</v>
      </c>
      <c r="K28">
        <v>300</v>
      </c>
    </row>
    <row r="29" spans="2:11">
      <c r="B29" s="72"/>
    </row>
    <row r="30" spans="2:11">
      <c r="B30" s="72" t="s">
        <v>1338</v>
      </c>
      <c r="C30" t="s">
        <v>1337</v>
      </c>
    </row>
    <row r="31" spans="2:11">
      <c r="B31" s="72" t="s">
        <v>1333</v>
      </c>
      <c r="C31" t="s">
        <v>1335</v>
      </c>
    </row>
    <row r="32" spans="2:11">
      <c r="B32" s="72" t="s">
        <v>1321</v>
      </c>
      <c r="C32" t="s">
        <v>1323</v>
      </c>
    </row>
    <row r="33" spans="2:10">
      <c r="B33" s="72" t="s">
        <v>1322</v>
      </c>
      <c r="C33" t="s">
        <v>1318</v>
      </c>
    </row>
    <row r="34" spans="2:10">
      <c r="B34" s="72" t="s">
        <v>1310</v>
      </c>
      <c r="C34" t="s">
        <v>1309</v>
      </c>
    </row>
    <row r="35" spans="2:10">
      <c r="B35" s="72" t="s">
        <v>1302</v>
      </c>
      <c r="C35" t="s">
        <v>1306</v>
      </c>
    </row>
    <row r="36" spans="2:10">
      <c r="B36" s="72" t="s">
        <v>1272</v>
      </c>
      <c r="C36" t="s">
        <v>1273</v>
      </c>
      <c r="D36" t="s">
        <v>1274</v>
      </c>
      <c r="E36" t="s">
        <v>1275</v>
      </c>
    </row>
    <row r="37" spans="2:10" ht="36">
      <c r="B37" s="72" t="s">
        <v>1260</v>
      </c>
      <c r="C37" t="s">
        <v>500</v>
      </c>
      <c r="D37" s="84">
        <v>14</v>
      </c>
      <c r="E37" s="74" t="s">
        <v>210</v>
      </c>
      <c r="F37" s="74" t="s">
        <v>190</v>
      </c>
      <c r="G37" s="74" t="s">
        <v>1263</v>
      </c>
    </row>
    <row r="38" spans="2:10" ht="24">
      <c r="B38" s="72" t="s">
        <v>1260</v>
      </c>
      <c r="C38" t="s">
        <v>500</v>
      </c>
      <c r="D38" s="84">
        <v>15</v>
      </c>
      <c r="E38" s="74" t="s">
        <v>206</v>
      </c>
      <c r="F38" s="74" t="s">
        <v>207</v>
      </c>
      <c r="G38" s="74" t="s">
        <v>1264</v>
      </c>
    </row>
    <row r="39" spans="2:10" ht="36">
      <c r="B39" s="72" t="s">
        <v>1260</v>
      </c>
      <c r="C39" t="s">
        <v>500</v>
      </c>
      <c r="D39" s="86">
        <v>10</v>
      </c>
      <c r="E39" s="85" t="s">
        <v>192</v>
      </c>
      <c r="F39" s="74" t="s">
        <v>190</v>
      </c>
      <c r="G39" s="74" t="s">
        <v>1262</v>
      </c>
    </row>
    <row r="40" spans="2:10" ht="24">
      <c r="B40" s="72" t="s">
        <v>1260</v>
      </c>
      <c r="C40" t="s">
        <v>500</v>
      </c>
      <c r="D40" s="86">
        <v>5</v>
      </c>
      <c r="E40" s="85" t="s">
        <v>192</v>
      </c>
      <c r="F40" s="74" t="s">
        <v>190</v>
      </c>
      <c r="G40" s="74" t="s">
        <v>1261</v>
      </c>
    </row>
    <row r="41" spans="2:10" ht="24">
      <c r="B41" s="72" t="s">
        <v>1260</v>
      </c>
      <c r="C41" t="s">
        <v>500</v>
      </c>
      <c r="D41" s="86">
        <v>7</v>
      </c>
      <c r="E41" s="85" t="s">
        <v>192</v>
      </c>
      <c r="F41" s="74" t="s">
        <v>190</v>
      </c>
      <c r="G41" s="74" t="s">
        <v>1259</v>
      </c>
    </row>
    <row r="42" spans="2:10">
      <c r="B42" s="72" t="s">
        <v>1250</v>
      </c>
      <c r="C42" t="s">
        <v>1251</v>
      </c>
    </row>
    <row r="43" spans="2:10">
      <c r="B43" s="72" t="s">
        <v>1243</v>
      </c>
      <c r="C43" t="s">
        <v>1244</v>
      </c>
    </row>
    <row r="44" spans="2:10">
      <c r="B44" s="72" t="s">
        <v>1232</v>
      </c>
      <c r="C44" t="s">
        <v>1233</v>
      </c>
    </row>
    <row r="45" spans="2:10">
      <c r="B45" s="72" t="s">
        <v>1217</v>
      </c>
      <c r="C45" t="s">
        <v>1218</v>
      </c>
    </row>
    <row r="46" spans="2:10">
      <c r="B46" s="72" t="s">
        <v>1214</v>
      </c>
      <c r="C46" t="s">
        <v>1215</v>
      </c>
      <c r="J46" s="188" t="s">
        <v>1023</v>
      </c>
    </row>
    <row r="47" spans="2:10">
      <c r="B47" s="72" t="s">
        <v>1206</v>
      </c>
      <c r="C47" t="s">
        <v>1207</v>
      </c>
    </row>
    <row r="48" spans="2:10">
      <c r="B48" s="72" t="s">
        <v>1185</v>
      </c>
      <c r="C48" t="s">
        <v>1186</v>
      </c>
    </row>
    <row r="49" spans="2:7">
      <c r="B49" s="72" t="s">
        <v>1170</v>
      </c>
      <c r="C49" t="s">
        <v>1171</v>
      </c>
    </row>
    <row r="50" spans="2:7">
      <c r="B50" s="72" t="s">
        <v>1039</v>
      </c>
      <c r="C50" t="s">
        <v>1040</v>
      </c>
    </row>
    <row r="51" spans="2:7">
      <c r="B51" s="72" t="s">
        <v>1025</v>
      </c>
      <c r="C51" t="s">
        <v>1026</v>
      </c>
      <c r="G51" s="188" t="s">
        <v>1022</v>
      </c>
    </row>
    <row r="52" spans="2:7">
      <c r="B52" s="72" t="s">
        <v>1025</v>
      </c>
      <c r="C52" t="s">
        <v>1021</v>
      </c>
    </row>
    <row r="53" spans="2:7">
      <c r="B53" s="72" t="s">
        <v>1001</v>
      </c>
      <c r="C53" t="s">
        <v>1002</v>
      </c>
    </row>
    <row r="54" spans="2:7">
      <c r="B54" s="72" t="s">
        <v>997</v>
      </c>
      <c r="C54" s="188" t="s">
        <v>998</v>
      </c>
    </row>
    <row r="55" spans="2:7">
      <c r="B55" s="72" t="s">
        <v>992</v>
      </c>
      <c r="C55" s="188" t="s">
        <v>991</v>
      </c>
    </row>
    <row r="56" spans="2:7">
      <c r="B56" s="72" t="s">
        <v>959</v>
      </c>
      <c r="C56" t="s">
        <v>961</v>
      </c>
    </row>
    <row r="57" spans="2:7">
      <c r="B57" s="72" t="s">
        <v>908</v>
      </c>
      <c r="C57" t="s">
        <v>909</v>
      </c>
    </row>
    <row r="58" spans="2:7">
      <c r="B58" s="72" t="s">
        <v>889</v>
      </c>
      <c r="C58" t="s">
        <v>890</v>
      </c>
    </row>
    <row r="59" spans="2:7">
      <c r="B59" t="s">
        <v>863</v>
      </c>
      <c r="C59" t="s">
        <v>864</v>
      </c>
    </row>
    <row r="60" spans="2:7">
      <c r="B60" s="72" t="s">
        <v>836</v>
      </c>
      <c r="C60" t="s">
        <v>837</v>
      </c>
    </row>
    <row r="61" spans="2:7">
      <c r="B61" s="180" t="s">
        <v>834</v>
      </c>
      <c r="C61" t="s">
        <v>835</v>
      </c>
    </row>
    <row r="62" spans="2:7">
      <c r="B62" t="s">
        <v>775</v>
      </c>
      <c r="C62" t="s">
        <v>776</v>
      </c>
    </row>
    <row r="63" spans="2:7">
      <c r="B63" t="s">
        <v>709</v>
      </c>
      <c r="C63" t="s">
        <v>715</v>
      </c>
    </row>
    <row r="64" spans="2:7">
      <c r="B64" s="128" t="s">
        <v>708</v>
      </c>
      <c r="C64" t="s">
        <v>710</v>
      </c>
    </row>
    <row r="65" spans="2:9">
      <c r="B65" t="s">
        <v>634</v>
      </c>
      <c r="C65" t="s">
        <v>635</v>
      </c>
    </row>
    <row r="66" spans="2:9">
      <c r="B66" t="s">
        <v>628</v>
      </c>
      <c r="C66" t="s">
        <v>711</v>
      </c>
      <c r="H66" s="73" t="s">
        <v>714</v>
      </c>
      <c r="I66" s="73">
        <v>301</v>
      </c>
    </row>
    <row r="67" spans="2:9">
      <c r="B67" t="s">
        <v>622</v>
      </c>
      <c r="C67" t="s">
        <v>621</v>
      </c>
      <c r="H67" s="73" t="s">
        <v>490</v>
      </c>
      <c r="I67" s="73">
        <v>120</v>
      </c>
    </row>
    <row r="68" spans="2:9">
      <c r="B68" t="s">
        <v>557</v>
      </c>
      <c r="C68" t="s">
        <v>558</v>
      </c>
      <c r="H68" s="73" t="s">
        <v>492</v>
      </c>
      <c r="I68" s="73">
        <v>120</v>
      </c>
    </row>
    <row r="69" spans="2:9">
      <c r="B69" t="s">
        <v>549</v>
      </c>
      <c r="C69" t="s">
        <v>551</v>
      </c>
      <c r="H69" s="73" t="s">
        <v>494</v>
      </c>
      <c r="I69" s="73">
        <v>120</v>
      </c>
    </row>
    <row r="70" spans="2:9">
      <c r="B70" t="s">
        <v>549</v>
      </c>
      <c r="C70" t="s">
        <v>712</v>
      </c>
      <c r="H70" s="73" t="s">
        <v>496</v>
      </c>
      <c r="I70" s="73">
        <v>120</v>
      </c>
    </row>
    <row r="71" spans="2:9">
      <c r="B71" t="s">
        <v>531</v>
      </c>
      <c r="C71" t="s">
        <v>713</v>
      </c>
      <c r="G71" s="74"/>
      <c r="H71" s="73" t="s">
        <v>498</v>
      </c>
      <c r="I71" s="73">
        <v>80</v>
      </c>
    </row>
    <row r="72" spans="2:9">
      <c r="B72" t="s">
        <v>499</v>
      </c>
      <c r="C72" t="s">
        <v>500</v>
      </c>
      <c r="D72" s="73">
        <v>106</v>
      </c>
      <c r="E72" s="74" t="s">
        <v>219</v>
      </c>
      <c r="F72" s="74" t="s">
        <v>207</v>
      </c>
      <c r="G72" s="73"/>
    </row>
    <row r="73" spans="2:9">
      <c r="B73" t="s">
        <v>499</v>
      </c>
      <c r="C73" t="s">
        <v>500</v>
      </c>
      <c r="D73" s="73">
        <v>107</v>
      </c>
      <c r="E73" s="73" t="s">
        <v>489</v>
      </c>
      <c r="F73" s="73" t="s">
        <v>330</v>
      </c>
      <c r="G73" s="73"/>
    </row>
    <row r="74" spans="2:9">
      <c r="B74" t="s">
        <v>499</v>
      </c>
      <c r="C74" t="s">
        <v>500</v>
      </c>
      <c r="D74" s="73">
        <v>108</v>
      </c>
      <c r="E74" s="73" t="s">
        <v>491</v>
      </c>
      <c r="F74" s="73" t="s">
        <v>330</v>
      </c>
      <c r="G74" s="73"/>
    </row>
    <row r="75" spans="2:9">
      <c r="B75" t="s">
        <v>499</v>
      </c>
      <c r="C75" t="s">
        <v>500</v>
      </c>
      <c r="D75" s="73">
        <v>109</v>
      </c>
      <c r="E75" s="73" t="s">
        <v>493</v>
      </c>
      <c r="F75" s="73" t="s">
        <v>330</v>
      </c>
      <c r="G75" s="73"/>
    </row>
    <row r="76" spans="2:9">
      <c r="B76" t="s">
        <v>499</v>
      </c>
      <c r="C76" t="s">
        <v>500</v>
      </c>
      <c r="D76" s="73">
        <v>110</v>
      </c>
      <c r="E76" s="73" t="s">
        <v>495</v>
      </c>
      <c r="F76" s="73" t="s">
        <v>330</v>
      </c>
      <c r="G76" s="73"/>
    </row>
    <row r="77" spans="2:9">
      <c r="B77" t="s">
        <v>499</v>
      </c>
      <c r="C77" t="s">
        <v>500</v>
      </c>
      <c r="D77" s="73">
        <v>111</v>
      </c>
      <c r="E77" s="73" t="s">
        <v>497</v>
      </c>
      <c r="F77" s="73" t="s">
        <v>330</v>
      </c>
    </row>
  </sheetData>
  <hyperlinks>
    <hyperlink ref="A1" location="Печать!A1" display="Автовизитки"/>
    <hyperlink ref="A2" location="Широкоформат!A1" display="Баннерная сетка"/>
    <hyperlink ref="A3" location="Широкоформат!A1" display="Баннеры"/>
    <hyperlink ref="A4" location="Печать!A1" display="Бейджи "/>
    <hyperlink ref="A5" location="Печать!A1" display="Бирки"/>
    <hyperlink ref="A6" location="Печать!A1" display="Бланки"/>
    <hyperlink ref="A7" location="Печать!A1" display="Буклеты"/>
    <hyperlink ref="A8" location="Печать!A1" display="Визитки "/>
    <hyperlink ref="A9" location="Широкоформат!A1" display="Вывески несветовые"/>
    <hyperlink ref="A10" location="Печать!L2" display="Дизайнерская бумага"/>
    <hyperlink ref="A11" location="Печать!A1" display="Карманный календарь"/>
    <hyperlink ref="B1" location="Печать!A1" display="Листовки "/>
    <hyperlink ref="B2" location="Печать!A1" display="Магниты"/>
    <hyperlink ref="B3" location="Печать!A1" display="Наклейки"/>
    <hyperlink ref="B4" location="Печать!A27" display="Объявления"/>
    <hyperlink ref="B5" location="Печать!A1" display="Открытки"/>
    <hyperlink ref="B6" location="Печать!A23" display="Офсетная печать"/>
    <hyperlink ref="B8" location="Широкоформат!A1" display="Постеры"/>
    <hyperlink ref="B9" location="Печать!A1" display="Прайсы"/>
    <hyperlink ref="B10" location="Печать!A1" display="Презентации"/>
    <hyperlink ref="B11" location="Печать!A1" display="Приглашения"/>
    <hyperlink ref="B12" location="Печать!A1" display="Самоклейка"/>
    <hyperlink ref="C1" location="Печать!A1" display="Флаеры"/>
    <hyperlink ref="C2" location="Печать!A1" display="Фольгирование"/>
    <hyperlink ref="C3" location="Печать!A1" display="Фотографии"/>
    <hyperlink ref="C5" location="Широкоформат!A1" display="Широкоформатная печать"/>
    <hyperlink ref="C7" location="Штендер!A1" display="Штендер"/>
    <hyperlink ref="C8" location="'Изделия из пластика'!A1" display="Изделия из пластика"/>
    <hyperlink ref="C6" location="Штампы!A1" display="Штампы и Печати"/>
    <hyperlink ref="A12" location="'Каталоги на скобу'!A1" display="Каталоги на скобу"/>
    <hyperlink ref="C4" location="'Изделия из пластика'!A1" display="Фоторамки"/>
    <hyperlink ref="C54" location="'Изделия из пластика'!A1" display="Добавлена меловая поверхность"/>
    <hyperlink ref="C55" location="'Изделия из пластика'!A1" display="Добавлены заготовки для акриловых магнитов"/>
    <hyperlink ref="G51" location="Печать!A1" display="В расчете печати"/>
    <hyperlink ref="J46" location="'Изделия из пластика'!A1" display="Посчитать отдельно"/>
    <hyperlink ref="B7" location="Плот.резка!A1" display="Плоттерная резк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AM43"/>
  <sheetViews>
    <sheetView workbookViewId="0">
      <selection activeCell="N13" sqref="N13"/>
    </sheetView>
  </sheetViews>
  <sheetFormatPr defaultColWidth="9.140625" defaultRowHeight="15"/>
  <cols>
    <col min="1" max="1" width="34" style="89" customWidth="1"/>
    <col min="2" max="14" width="9.140625" style="89"/>
    <col min="15" max="15" width="10.28515625" style="89" bestFit="1" customWidth="1"/>
    <col min="16" max="16384" width="9.140625" style="89"/>
  </cols>
  <sheetData>
    <row r="1" spans="1:22">
      <c r="A1" s="89" t="s">
        <v>281</v>
      </c>
      <c r="B1" s="89">
        <v>5</v>
      </c>
      <c r="C1" s="89" t="s">
        <v>280</v>
      </c>
      <c r="D1" s="89">
        <f>B1/100</f>
        <v>0.05</v>
      </c>
      <c r="K1" s="89" t="s">
        <v>1359</v>
      </c>
      <c r="N1" s="89" t="s">
        <v>512</v>
      </c>
      <c r="Q1" s="89">
        <v>100</v>
      </c>
      <c r="R1" s="89" t="s">
        <v>544</v>
      </c>
      <c r="T1" s="89" t="s">
        <v>546</v>
      </c>
    </row>
    <row r="2" spans="1:22">
      <c r="A2" s="89" t="s">
        <v>282</v>
      </c>
      <c r="B2" s="89">
        <v>5</v>
      </c>
      <c r="C2" s="89" t="s">
        <v>280</v>
      </c>
      <c r="D2" s="89">
        <f>B2/100</f>
        <v>0.05</v>
      </c>
      <c r="J2" s="89" t="s">
        <v>283</v>
      </c>
      <c r="K2" s="89">
        <f>Печать!I4</f>
        <v>100</v>
      </c>
      <c r="N2" s="89" t="s">
        <v>529</v>
      </c>
      <c r="O2" s="89">
        <v>1</v>
      </c>
      <c r="P2" s="89">
        <v>5</v>
      </c>
      <c r="Q2" s="89">
        <v>10</v>
      </c>
      <c r="U2" s="89">
        <f>IF(U3&gt;=0,1,0)*IF(U4&gt;=0,1,0)</f>
        <v>1</v>
      </c>
    </row>
    <row r="3" spans="1:22">
      <c r="N3" s="89" t="s">
        <v>530</v>
      </c>
      <c r="O3" s="89">
        <v>10</v>
      </c>
      <c r="P3" s="89">
        <v>20</v>
      </c>
      <c r="Q3" s="89">
        <v>30</v>
      </c>
      <c r="R3" s="89" t="s">
        <v>343</v>
      </c>
      <c r="S3" s="89">
        <v>3</v>
      </c>
      <c r="T3" s="89">
        <f>Широкоформат!B4</f>
        <v>1.2</v>
      </c>
      <c r="U3" s="89">
        <f>IF($T$3&gt;$T$4,S3-$T$3,S3-$T$4)</f>
        <v>1.8</v>
      </c>
    </row>
    <row r="4" spans="1:22">
      <c r="A4" s="89" t="s">
        <v>332</v>
      </c>
      <c r="B4" s="89">
        <v>2</v>
      </c>
      <c r="C4" s="89">
        <v>2</v>
      </c>
      <c r="D4" s="89">
        <v>2</v>
      </c>
      <c r="E4" s="89">
        <v>1.95</v>
      </c>
      <c r="F4" s="89">
        <v>1.7</v>
      </c>
      <c r="G4" s="89">
        <v>1.6</v>
      </c>
      <c r="H4" s="89">
        <v>1.55</v>
      </c>
      <c r="I4" s="89">
        <v>1.5</v>
      </c>
      <c r="K4" s="89">
        <f>IF(K5&gt;=I5,I4,IF(K5&gt;=H5,H4,IF(K5&gt;=G5,G4,IF(K5&gt;=F5,F4,IF(K5&gt;=E5,E4,IF(K5&gt;=D5,D4,IF(K5&gt;=C5,C4,IF(K5&gt;=B5,B4,no))))))))</f>
        <v>1.6</v>
      </c>
      <c r="L4" s="89">
        <f>IF(Себестоимости!H32&gt;=I5*40,I4,IF(Себестоимости!H32&gt;=H5*30,H4,IF(Себестоимости!H32&gt;=G5*20,G4,IF(Себестоимости!H32&gt;=F5*20,F4,IF(Себестоимости!H32&gt;=E5*20,E4,IF(Себестоимости!H32&gt;=D5*10,D4,IF(Себестоимости!H32&gt;=C5*10,C4,IF(Себестоимости!H32&gt;=B5,B4,B4))))))))</f>
        <v>2</v>
      </c>
      <c r="M4" s="89">
        <f>IF(M5&gt;=I5,I4,IF(M5&gt;=H5,H4,IF(M5&gt;=G5,G4,IF(M5&gt;=F5,F4,IF(M5&gt;=E5,E4,IF(M5&gt;=D5,D4,IF(M5&gt;=C5,C4,IF(M5&gt;=B5,B4,no))))))))</f>
        <v>1.6</v>
      </c>
      <c r="N4" s="89" t="s">
        <v>550</v>
      </c>
      <c r="O4" s="89">
        <f>($Q$1-O3)/100+1</f>
        <v>1.9</v>
      </c>
      <c r="P4" s="89">
        <f>($Q$1-P3)/100+1</f>
        <v>1.8</v>
      </c>
      <c r="Q4" s="89">
        <f>($Q$1-Q3)/100+1</f>
        <v>1.7</v>
      </c>
      <c r="R4" s="89" t="s">
        <v>545</v>
      </c>
      <c r="S4" s="89">
        <v>2</v>
      </c>
      <c r="T4" s="89">
        <f>Широкоформат!B5</f>
        <v>0.6</v>
      </c>
      <c r="U4" s="89">
        <f>IF($T$3&lt;$T$4,S4-$T$3,S4-$T$4)</f>
        <v>1.4</v>
      </c>
    </row>
    <row r="5" spans="1:22">
      <c r="A5" s="89" t="s">
        <v>283</v>
      </c>
      <c r="B5" s="89">
        <v>1</v>
      </c>
      <c r="C5" s="89">
        <v>5</v>
      </c>
      <c r="D5" s="89">
        <v>10</v>
      </c>
      <c r="E5" s="89">
        <v>25</v>
      </c>
      <c r="F5" s="89">
        <v>50</v>
      </c>
      <c r="G5" s="89">
        <v>100</v>
      </c>
      <c r="H5" s="89">
        <v>200</v>
      </c>
      <c r="I5" s="89">
        <v>500</v>
      </c>
      <c r="K5" s="89">
        <f>Форматы!N2</f>
        <v>100</v>
      </c>
      <c r="M5" s="89">
        <f>K5*SUM('Каталоги на скобу'!O6:O32)</f>
        <v>100</v>
      </c>
      <c r="N5" s="89" t="s">
        <v>277</v>
      </c>
      <c r="O5" s="89">
        <f>IF(Широкоформат!J78=Широкоформат!J21,1,IF(Широкоформат!B8&gt;Настройки!Q2,Настройки!Q4,IF(Широкоформат!B8&gt;Настройки!P2,Настройки!P4,IF(Широкоформат!B8&gt;=Настройки!O2,Настройки!O4,Настройки!Q1/50))))</f>
        <v>1</v>
      </c>
    </row>
    <row r="6" spans="1:22">
      <c r="A6" s="89" t="s">
        <v>340</v>
      </c>
      <c r="B6" s="89">
        <v>2</v>
      </c>
      <c r="C6" s="89">
        <v>2</v>
      </c>
      <c r="D6" s="89">
        <v>2</v>
      </c>
      <c r="E6" s="89">
        <v>1.95</v>
      </c>
      <c r="F6" s="89">
        <v>1.7</v>
      </c>
      <c r="G6" s="89">
        <v>1.6</v>
      </c>
      <c r="H6" s="89">
        <v>1.6</v>
      </c>
      <c r="I6" s="89">
        <v>1.6</v>
      </c>
      <c r="K6" s="89">
        <f>IF(K5&gt;=I5*10,I6,IF(K5&gt;=H5,H6,IF(K5&gt;=G5,G6,IF(K5&gt;=F5,F6,IF(K5&gt;=E5,E6,IF(K5&gt;=D5,D6,IF(K5&gt;=C5,C6,IF(K5&gt;=B5,B6,no))))))))</f>
        <v>1.6</v>
      </c>
    </row>
    <row r="7" spans="1:22">
      <c r="N7" s="89" t="s">
        <v>572</v>
      </c>
    </row>
    <row r="8" spans="1:22" ht="15.75" thickBot="1">
      <c r="A8" s="89" t="s">
        <v>338</v>
      </c>
      <c r="B8" s="89">
        <v>0.5</v>
      </c>
      <c r="C8" s="89">
        <v>5</v>
      </c>
      <c r="D8" s="89">
        <v>5</v>
      </c>
      <c r="E8" s="89">
        <v>5</v>
      </c>
      <c r="F8" s="89">
        <v>5</v>
      </c>
      <c r="G8" s="89">
        <v>10</v>
      </c>
      <c r="H8" s="89">
        <v>10</v>
      </c>
      <c r="I8" s="89">
        <v>10</v>
      </c>
      <c r="K8" s="89">
        <f>IF(K5&gt;=I5*10,I8,IF(K5&gt;=H5,H8,IF(K5&gt;=G5,G8,IF(K5&gt;=F5,F8,IF(K5&gt;=E5,E8,IF(K5&gt;=D5,D8,IF(K5&gt;=C5,C8,IF(K5&gt;=B5,B8,no))))))))</f>
        <v>10</v>
      </c>
      <c r="N8" s="89" t="s">
        <v>283</v>
      </c>
      <c r="P8" s="89">
        <v>1</v>
      </c>
      <c r="Q8" s="89">
        <v>3</v>
      </c>
    </row>
    <row r="9" spans="1:22">
      <c r="A9" s="89" t="s">
        <v>312</v>
      </c>
      <c r="F9" s="89" t="s">
        <v>323</v>
      </c>
      <c r="I9" s="185" t="s">
        <v>162</v>
      </c>
      <c r="N9" s="89" t="s">
        <v>277</v>
      </c>
      <c r="O9" s="89">
        <f>IF(Штендер!B6&lt;Настройки!Q8,P9,Q9)</f>
        <v>2</v>
      </c>
      <c r="P9" s="89">
        <v>2</v>
      </c>
      <c r="Q9" s="89">
        <v>1.75</v>
      </c>
    </row>
    <row r="10" spans="1:22">
      <c r="A10" s="89" t="s">
        <v>292</v>
      </c>
      <c r="B10" s="89" t="s">
        <v>179</v>
      </c>
      <c r="C10" s="89" t="s">
        <v>305</v>
      </c>
      <c r="F10" s="89" t="s">
        <v>123</v>
      </c>
      <c r="G10" s="89">
        <v>2.15</v>
      </c>
      <c r="H10" s="89">
        <f>IF(F10=Себестоимости!$N$2,Настройки!G10,0)</f>
        <v>0</v>
      </c>
      <c r="I10" s="186">
        <v>2.5</v>
      </c>
      <c r="J10" s="89">
        <f>IF(H10=0,0,I10)</f>
        <v>0</v>
      </c>
    </row>
    <row r="11" spans="1:22">
      <c r="A11" s="89" t="str">
        <f>Себестоимости!B37</f>
        <v>Снегурочка</v>
      </c>
      <c r="B11" s="89">
        <f>Себестоимости!A37</f>
        <v>100</v>
      </c>
      <c r="C11" s="89" t="str">
        <f>Себестоимости!E37</f>
        <v>Белый</v>
      </c>
      <c r="F11" s="89" t="s">
        <v>124</v>
      </c>
      <c r="G11" s="89">
        <v>2</v>
      </c>
      <c r="H11" s="89">
        <f>IF(F11=Себестоимости!$N$2,Настройки!G11,0)</f>
        <v>0</v>
      </c>
      <c r="I11" s="186">
        <v>2</v>
      </c>
      <c r="J11" s="89">
        <f>IF(H11=0,0,I11)</f>
        <v>0</v>
      </c>
      <c r="N11" s="89" t="s">
        <v>578</v>
      </c>
    </row>
    <row r="12" spans="1:22">
      <c r="A12" s="89" t="s">
        <v>287</v>
      </c>
      <c r="B12" s="89" t="s">
        <v>314</v>
      </c>
      <c r="F12" s="89" t="s">
        <v>125</v>
      </c>
      <c r="G12" s="89">
        <v>1.2</v>
      </c>
      <c r="H12" s="89">
        <f>IF(F12=Себестоимости!$N$2,Настройки!G12,0)</f>
        <v>0</v>
      </c>
      <c r="I12" s="186">
        <v>1.1000000000000001</v>
      </c>
      <c r="J12" s="89">
        <f>IF(H12=0,0,I12)</f>
        <v>0</v>
      </c>
      <c r="N12" s="89" t="s">
        <v>383</v>
      </c>
      <c r="P12" s="89">
        <v>1</v>
      </c>
      <c r="Q12" s="89">
        <v>3000</v>
      </c>
    </row>
    <row r="13" spans="1:22">
      <c r="A13" s="89">
        <f>Себестоимости!F37</f>
        <v>80</v>
      </c>
      <c r="B13" s="89" t="str">
        <f>IF(A13&gt;239,"ТОЛСТЫЙ4",IF(A13&gt;105,"ТОЛСТЫЙ2",IF(A13&gt;59,"ОБЫЧНЫЙ",0)))</f>
        <v>ОБЫЧНЫЙ</v>
      </c>
      <c r="F13" s="89" t="s">
        <v>126</v>
      </c>
      <c r="G13" s="89">
        <v>1</v>
      </c>
      <c r="H13" s="89">
        <f>IF(F13=Себестоимости!$N$2,Настройки!G13,0)</f>
        <v>1</v>
      </c>
      <c r="I13" s="186">
        <v>1</v>
      </c>
      <c r="J13" s="89">
        <f>IF(H13=0,0,I13)</f>
        <v>1</v>
      </c>
      <c r="N13" s="89" t="s">
        <v>579</v>
      </c>
      <c r="O13" s="89">
        <f>IF(Штендер!B10&lt;Настройки!Q12,P13,Q13)</f>
        <v>2</v>
      </c>
      <c r="P13" s="89">
        <v>2</v>
      </c>
      <c r="Q13" s="89">
        <v>1.75</v>
      </c>
    </row>
    <row r="14" spans="1:22" ht="15.75" thickBot="1">
      <c r="F14" s="89" t="s">
        <v>127</v>
      </c>
      <c r="G14" s="89">
        <v>4.5999999999999996</v>
      </c>
      <c r="H14" s="89">
        <f>IF(F14=Себестоимости!$N$2,Настройки!G14,0)</f>
        <v>0</v>
      </c>
      <c r="I14" s="187">
        <v>4</v>
      </c>
      <c r="J14" s="89">
        <f>IF(H14=0,0,I14)</f>
        <v>0</v>
      </c>
    </row>
    <row r="15" spans="1:22">
      <c r="J15" s="89">
        <f>SUM(J10:J14)</f>
        <v>1</v>
      </c>
      <c r="N15" s="89" t="s">
        <v>672</v>
      </c>
      <c r="O15" s="89">
        <f>IF(Печать!B29&gt;=Настройки!V15,Настройки!V16,IF(Печать!B29&gt;=Настройки!U15,Настройки!U16,Настройки!T16))</f>
        <v>1.7</v>
      </c>
      <c r="P15" s="89" t="s">
        <v>673</v>
      </c>
      <c r="Q15" s="89">
        <v>50</v>
      </c>
      <c r="S15" s="89" t="s">
        <v>1176</v>
      </c>
      <c r="T15" s="89">
        <v>0</v>
      </c>
      <c r="U15" s="89">
        <v>3000</v>
      </c>
      <c r="V15" s="89">
        <v>10000</v>
      </c>
    </row>
    <row r="16" spans="1:22">
      <c r="A16" s="89" t="s">
        <v>366</v>
      </c>
      <c r="B16" s="89">
        <v>70</v>
      </c>
      <c r="K16" s="89">
        <f>IF(0=Печать!D19,0,B16+K17*K5)</f>
        <v>0</v>
      </c>
      <c r="T16" s="89">
        <v>1.7</v>
      </c>
      <c r="U16" s="89">
        <v>1.6</v>
      </c>
      <c r="V16" s="89">
        <v>1.5</v>
      </c>
    </row>
    <row r="17" spans="1:39">
      <c r="A17" s="89" t="s">
        <v>363</v>
      </c>
      <c r="B17" s="89">
        <v>11</v>
      </c>
      <c r="C17" s="89">
        <v>5.5</v>
      </c>
      <c r="D17" s="89">
        <v>0.38</v>
      </c>
      <c r="E17" s="89">
        <v>0.26</v>
      </c>
      <c r="F17" s="89">
        <v>0.21</v>
      </c>
      <c r="G17" s="89">
        <v>0.2</v>
      </c>
      <c r="H17" s="89">
        <v>0.17</v>
      </c>
      <c r="I17" s="89">
        <v>0.13</v>
      </c>
      <c r="K17" s="89">
        <f>IF(K2&gt;=I5,I17,IF(K2&gt;=H5,H17,IF(K2&gt;=G5,G17,IF(K2&gt;=F5,F17,IF(K2&gt;=E5,E17,IF(K2&gt;=D5,D17,IF(K2&gt;=C5,C17,IF(K2&gt;=B5,B17,no))))))))</f>
        <v>0.2</v>
      </c>
      <c r="L17" s="89">
        <f>IF(Себестоимости!H32&gt;=I5,I17,IF(Себестоимости!H32&gt;=H5,H17,IF(Себестоимости!H32&gt;=G5,G17,IF(Себестоимости!H32&gt;=F5,F17,IF(Себестоимости!H32&gt;=E5,E17,IF(Себестоимости!H32&gt;=D5,D17,IF(Себестоимости!H32&gt;=C5,C17,IF(Себестоимости!H32&gt;=B5,B17,no))))))))</f>
        <v>0.2</v>
      </c>
      <c r="N17" s="89" t="s">
        <v>702</v>
      </c>
    </row>
    <row r="18" spans="1:39">
      <c r="A18" s="89" t="s">
        <v>367</v>
      </c>
      <c r="B18" s="89">
        <v>88</v>
      </c>
      <c r="K18" s="89">
        <f>IF(Печать!D19=1,B18+K19*K5+Настройки!K5*Настройки!K17,IF(Печать!D19=2,B18+K20*K5+Настройки!K5*Настройки!K17,IF(Печать!D19=3,Настройки!B18+(Настройки!K19+Настройки!K20*Настройки!K5)+Настройки!B16+Настройки!K5*Настройки!K17,0)))</f>
        <v>0</v>
      </c>
      <c r="N18" s="89" t="s">
        <v>703</v>
      </c>
      <c r="O18" s="89">
        <v>15</v>
      </c>
      <c r="P18" s="89" t="s">
        <v>704</v>
      </c>
    </row>
    <row r="19" spans="1:39">
      <c r="A19" s="89" t="s">
        <v>365</v>
      </c>
      <c r="B19" s="89">
        <v>14</v>
      </c>
      <c r="C19" s="89">
        <v>1.81</v>
      </c>
      <c r="D19" s="89">
        <v>1.69</v>
      </c>
      <c r="E19" s="89">
        <v>1.57</v>
      </c>
      <c r="F19" s="89">
        <v>1.45</v>
      </c>
      <c r="G19" s="89">
        <v>1.33</v>
      </c>
      <c r="H19" s="89">
        <v>1.2</v>
      </c>
      <c r="I19" s="89">
        <v>1.2</v>
      </c>
      <c r="K19" s="89">
        <f>IF(K2&gt;=I5,I19,IF(K2&gt;=H5,H19,IF(K2&gt;=G5,G19,IF(K2&gt;=F5,F19,IF(K2&gt;=E5,E19,IF(K2&gt;=D5,D19,IF(K2&gt;=C5,C19,IF(K2&gt;=B5,B19,no))))))))</f>
        <v>1.33</v>
      </c>
      <c r="N19" s="89" t="s">
        <v>705</v>
      </c>
      <c r="O19" s="89">
        <v>4</v>
      </c>
      <c r="P19" s="89" t="s">
        <v>704</v>
      </c>
    </row>
    <row r="20" spans="1:39">
      <c r="A20" s="89" t="s">
        <v>364</v>
      </c>
      <c r="B20" s="89">
        <v>27.5</v>
      </c>
      <c r="C20" s="89">
        <v>3.3</v>
      </c>
      <c r="D20" s="89">
        <v>3.3</v>
      </c>
      <c r="E20" s="89">
        <v>2.75</v>
      </c>
      <c r="F20" s="89">
        <v>2.2000000000000002</v>
      </c>
      <c r="G20" s="89">
        <v>1.5</v>
      </c>
      <c r="H20" s="89">
        <v>1.4</v>
      </c>
      <c r="I20" s="89">
        <v>1.38</v>
      </c>
      <c r="K20" s="89">
        <f>IF(K2&gt;=I5,I20,IF(K2&gt;=H5,H20,IF(K2&gt;=G5,G20,IF(K2&gt;=F5,F20,IF(K2&gt;=E5,E20,IF(K2&gt;=D5,D20,IF(K2&gt;=C5,C20,IF(K2&gt;=B5,B20,no))))))))</f>
        <v>1.5</v>
      </c>
      <c r="N20" s="89" t="s">
        <v>706</v>
      </c>
      <c r="O20" s="89">
        <f>O18+O19*(Форматы!F26-1)</f>
        <v>15</v>
      </c>
    </row>
    <row r="21" spans="1:39">
      <c r="A21" s="89" t="s">
        <v>1358</v>
      </c>
      <c r="B21" s="89">
        <v>11</v>
      </c>
      <c r="C21" s="89">
        <v>5.5</v>
      </c>
      <c r="D21" s="89">
        <v>1.75</v>
      </c>
      <c r="E21" s="89">
        <v>1.21</v>
      </c>
      <c r="F21" s="89">
        <v>1.1000000000000001</v>
      </c>
      <c r="G21" s="89">
        <v>1.1000000000000001</v>
      </c>
      <c r="H21" s="89">
        <v>1</v>
      </c>
      <c r="I21" s="89">
        <v>1</v>
      </c>
      <c r="K21" s="89">
        <f>IF(K2&gt;=I5,I21,IF(K2&gt;=H5,H21,IF(K2&gt;=G5,G21,IF(K2&gt;=F5,F21,IF(K2&gt;=E5,E21,IF(K2&gt;=D5,D21,IF(K2&gt;=C5,C21,IF(K2&gt;=B5,B21,no))))))))</f>
        <v>1.1000000000000001</v>
      </c>
      <c r="T21" s="89" t="s">
        <v>1165</v>
      </c>
      <c r="U21" s="89">
        <f>SUM(V21:Z21)</f>
        <v>2</v>
      </c>
      <c r="V21" s="89">
        <f>IF(SUM(V24:V31)&gt;0,V22,0)</f>
        <v>0</v>
      </c>
      <c r="W21" s="89">
        <f>IF(SUM(W24:W31)&gt;0,W22,0)</f>
        <v>0</v>
      </c>
      <c r="X21" s="89">
        <f>IF(SUM(X24:X31)&gt;0,X22,0)</f>
        <v>0</v>
      </c>
      <c r="Y21" s="89">
        <f>IF(SUM(Y24:Y31)&gt;0,Y22,0)</f>
        <v>0</v>
      </c>
      <c r="Z21" s="89">
        <f>IF(SUM(Z24:Z31)&gt;0,Z22,0)</f>
        <v>2</v>
      </c>
    </row>
    <row r="22" spans="1:39">
      <c r="B22" s="89">
        <f>IF(B23&gt;0,B27,0)</f>
        <v>0</v>
      </c>
      <c r="C22" s="89">
        <f t="shared" ref="C22:J22" si="0">IF(C23&gt;0,96*$D$43,0)</f>
        <v>96</v>
      </c>
      <c r="D22" s="89">
        <f t="shared" si="0"/>
        <v>0</v>
      </c>
      <c r="E22" s="89">
        <f t="shared" si="0"/>
        <v>0</v>
      </c>
      <c r="F22" s="89">
        <f t="shared" si="0"/>
        <v>0</v>
      </c>
      <c r="G22" s="89">
        <f t="shared" si="0"/>
        <v>0</v>
      </c>
      <c r="H22" s="89">
        <f t="shared" si="0"/>
        <v>0</v>
      </c>
      <c r="I22" s="89">
        <f t="shared" si="0"/>
        <v>0</v>
      </c>
      <c r="J22" s="89">
        <f t="shared" si="0"/>
        <v>0</v>
      </c>
      <c r="K22" s="89" t="s">
        <v>471</v>
      </c>
      <c r="L22" s="89">
        <f>SUM(B22:J22)</f>
        <v>96</v>
      </c>
      <c r="N22" s="89" t="s">
        <v>1173</v>
      </c>
      <c r="R22" s="89" t="s">
        <v>1163</v>
      </c>
      <c r="U22" s="89" t="s">
        <v>1164</v>
      </c>
      <c r="V22" s="89">
        <v>1.6</v>
      </c>
      <c r="W22" s="89">
        <v>1.8</v>
      </c>
      <c r="X22" s="89">
        <v>1.85</v>
      </c>
      <c r="Y22" s="89">
        <v>1.9</v>
      </c>
      <c r="Z22" s="89">
        <v>2</v>
      </c>
    </row>
    <row r="23" spans="1:39">
      <c r="B23" s="89">
        <f>IF(SUM(C23:$J$23)=0,IF($D$43&gt;=B32,B24,0),0)</f>
        <v>0</v>
      </c>
      <c r="C23" s="89">
        <f>IF(SUM(D23:$J$23)=0,IF($D$43&gt;=C32,C24*$D$43,0),0)</f>
        <v>410</v>
      </c>
      <c r="D23" s="89">
        <f>IF(SUM(E23:$J$23)=0,IF($D$43&gt;=D32,D24*$D$43,0),0)</f>
        <v>0</v>
      </c>
      <c r="E23" s="89">
        <f>IF(SUM(F23:$J$23)=0,IF($D$43&gt;=E32,E24*$D$43,0),0)</f>
        <v>0</v>
      </c>
      <c r="F23" s="89">
        <f>IF(SUM(G23:$J$23)=0,IF($D$43&gt;=F32,F24*$D$43,0),0)</f>
        <v>0</v>
      </c>
      <c r="G23" s="89">
        <f>IF(SUM(H23:$J$23)=0,IF($D$43&gt;=G32,G24*$D$43,0),0)</f>
        <v>0</v>
      </c>
      <c r="H23" s="89">
        <f>IF(SUM(I23:J23)=0,IF($D$43&gt;=H32,H24*$D$43,0),0)</f>
        <v>0</v>
      </c>
      <c r="I23" s="89">
        <f>IF(J23=0,IF($D$43&gt;=I32,I24*$D$43,0),0)</f>
        <v>0</v>
      </c>
      <c r="J23" s="89">
        <f>IF($D$43&gt;=J32,J24*$D$43,0)</f>
        <v>0</v>
      </c>
      <c r="K23" s="89" t="s">
        <v>472</v>
      </c>
      <c r="L23" s="89">
        <f>SUM(B23:J23)+IF(Себестоимости!H37&gt;Себестоимости!H39,Себестоимости!H37,0)</f>
        <v>410</v>
      </c>
      <c r="N23" s="89" t="s">
        <v>277</v>
      </c>
      <c r="O23" s="89">
        <v>1.5</v>
      </c>
      <c r="T23" s="89" t="s">
        <v>174</v>
      </c>
      <c r="U23" s="89" t="s">
        <v>1010</v>
      </c>
      <c r="V23" s="89">
        <v>100</v>
      </c>
      <c r="W23" s="89">
        <v>25</v>
      </c>
      <c r="X23" s="89">
        <v>6</v>
      </c>
      <c r="Y23" s="89">
        <v>2</v>
      </c>
      <c r="Z23" s="89">
        <v>1</v>
      </c>
      <c r="AB23" s="89" t="s">
        <v>174</v>
      </c>
      <c r="AC23" s="89" t="s">
        <v>1010</v>
      </c>
      <c r="AD23" s="89">
        <v>100</v>
      </c>
      <c r="AE23" s="89">
        <v>25</v>
      </c>
      <c r="AF23" s="89">
        <v>5</v>
      </c>
      <c r="AG23" s="89">
        <v>3</v>
      </c>
      <c r="AH23" s="89">
        <v>1</v>
      </c>
    </row>
    <row r="24" spans="1:39" ht="15.75" thickBot="1">
      <c r="B24" s="89">
        <f t="shared" ref="B24:J24" si="1">IF($G$43=1,B28,IF($G$43=2,B29,IF($G$43=4,B30,B31)))</f>
        <v>280</v>
      </c>
      <c r="C24" s="89">
        <f t="shared" si="1"/>
        <v>410</v>
      </c>
      <c r="D24" s="89">
        <f t="shared" si="1"/>
        <v>350</v>
      </c>
      <c r="E24" s="89">
        <f t="shared" si="1"/>
        <v>300</v>
      </c>
      <c r="F24" s="89">
        <f t="shared" si="1"/>
        <v>283</v>
      </c>
      <c r="G24" s="89">
        <f t="shared" si="1"/>
        <v>260</v>
      </c>
      <c r="H24" s="89">
        <f t="shared" si="1"/>
        <v>260</v>
      </c>
      <c r="I24" s="89">
        <f t="shared" si="1"/>
        <v>250</v>
      </c>
      <c r="J24" s="89">
        <f t="shared" si="1"/>
        <v>240</v>
      </c>
      <c r="T24" s="89" t="s">
        <v>1031</v>
      </c>
      <c r="U24" s="89">
        <f>SUM(V25:Z31)</f>
        <v>150</v>
      </c>
      <c r="V24" s="89">
        <f>IF(Переплёт!$D$9&gt;V23,1,0)</f>
        <v>0</v>
      </c>
      <c r="W24" s="89">
        <f>IF(Переплёт!$D$9&gt;W23,1,0)*IF(SUM(V24)=0,1,0)</f>
        <v>0</v>
      </c>
      <c r="X24" s="89">
        <f>IF(Переплёт!$D$9&gt;X23,1,0)*IF(SUM(V24:W24)=0,1,0)</f>
        <v>0</v>
      </c>
      <c r="Y24" s="89">
        <f>IF(Переплёт!$D$9&gt;Y23,1,0)*IF(SUM(V24:X24)=0,1,0)</f>
        <v>0</v>
      </c>
      <c r="Z24" s="89">
        <f>IF(Переплёт!$D$9&gt;=Z23,1,0)*IF(SUM(V24:Y24:Y24)=0,1,0)</f>
        <v>1</v>
      </c>
      <c r="AB24" s="89" t="s">
        <v>1031</v>
      </c>
    </row>
    <row r="25" spans="1:39" ht="17.25" thickBot="1">
      <c r="A25" s="339" t="s">
        <v>459</v>
      </c>
      <c r="B25" s="340"/>
      <c r="C25" s="340"/>
      <c r="D25" s="340"/>
      <c r="E25" s="340"/>
      <c r="F25" s="340"/>
      <c r="G25" s="340"/>
      <c r="H25" s="340"/>
      <c r="I25" s="340"/>
      <c r="J25" s="341"/>
      <c r="N25" s="89" t="s">
        <v>1299</v>
      </c>
      <c r="T25" s="89">
        <v>239</v>
      </c>
      <c r="U25" s="89">
        <f>IF(Переплёт!$C$9&gt;Настройки!T25,1,0)</f>
        <v>0</v>
      </c>
      <c r="V25" s="89">
        <f t="shared" ref="V25:Z29" si="2">AD25*$U25*V$24</f>
        <v>0</v>
      </c>
      <c r="W25" s="89">
        <f t="shared" si="2"/>
        <v>0</v>
      </c>
      <c r="X25" s="89">
        <f t="shared" si="2"/>
        <v>0</v>
      </c>
      <c r="Y25" s="89">
        <f t="shared" si="2"/>
        <v>0</v>
      </c>
      <c r="Z25" s="89">
        <f t="shared" si="2"/>
        <v>0</v>
      </c>
      <c r="AB25" s="89">
        <v>239</v>
      </c>
      <c r="AD25" s="328">
        <v>128.4</v>
      </c>
      <c r="AE25" s="328">
        <v>139.1</v>
      </c>
      <c r="AF25" s="328">
        <v>160.5</v>
      </c>
      <c r="AG25" s="328">
        <v>214</v>
      </c>
      <c r="AH25" s="89">
        <v>260</v>
      </c>
      <c r="AJ25" s="328"/>
      <c r="AK25" s="328"/>
      <c r="AL25" s="328"/>
      <c r="AM25" s="328"/>
    </row>
    <row r="26" spans="1:39" ht="15.75" thickBot="1">
      <c r="A26" s="342" t="s">
        <v>460</v>
      </c>
      <c r="B26" s="344" t="s">
        <v>461</v>
      </c>
      <c r="C26" s="345"/>
      <c r="D26" s="345"/>
      <c r="E26" s="345"/>
      <c r="F26" s="345"/>
      <c r="G26" s="345"/>
      <c r="H26" s="345"/>
      <c r="I26" s="345"/>
      <c r="J26" s="346"/>
      <c r="N26" s="89">
        <f>IF(Плот.резка!P1=Настройки!R26,Настройки!R27,Настройки!O26)</f>
        <v>2</v>
      </c>
      <c r="O26" s="89">
        <f>2</f>
        <v>2</v>
      </c>
      <c r="R26" s="89" t="s">
        <v>1300</v>
      </c>
      <c r="T26" s="89">
        <v>199</v>
      </c>
      <c r="U26" s="89">
        <f>IF(Переплёт!$C$9&gt;Настройки!T26,1,0)*IF(U25=0,1,0)</f>
        <v>0</v>
      </c>
      <c r="V26" s="89">
        <f t="shared" si="2"/>
        <v>0</v>
      </c>
      <c r="W26" s="89">
        <f t="shared" si="2"/>
        <v>0</v>
      </c>
      <c r="X26" s="89">
        <f t="shared" si="2"/>
        <v>0</v>
      </c>
      <c r="Y26" s="89">
        <f t="shared" si="2"/>
        <v>0</v>
      </c>
      <c r="Z26" s="89">
        <f t="shared" si="2"/>
        <v>0</v>
      </c>
      <c r="AB26" s="89">
        <v>199</v>
      </c>
      <c r="AD26" s="328">
        <v>107</v>
      </c>
      <c r="AE26" s="328">
        <v>128.4</v>
      </c>
      <c r="AF26" s="328">
        <v>149.80000000000001</v>
      </c>
      <c r="AG26" s="328">
        <v>192.60000000000002</v>
      </c>
      <c r="AH26" s="89">
        <v>220</v>
      </c>
      <c r="AJ26" s="328"/>
      <c r="AK26" s="328"/>
      <c r="AL26" s="328"/>
      <c r="AM26" s="328"/>
    </row>
    <row r="27" spans="1:39" ht="15.75" thickBot="1">
      <c r="A27" s="343"/>
      <c r="B27" s="90">
        <v>48</v>
      </c>
      <c r="C27" s="91">
        <v>96</v>
      </c>
      <c r="D27" s="91">
        <v>192</v>
      </c>
      <c r="E27" s="91">
        <v>480</v>
      </c>
      <c r="F27" s="91">
        <v>576</v>
      </c>
      <c r="G27" s="91">
        <v>768</v>
      </c>
      <c r="H27" s="91">
        <v>864</v>
      </c>
      <c r="I27" s="91">
        <v>960</v>
      </c>
      <c r="J27" s="91">
        <v>1440</v>
      </c>
      <c r="N27" s="89" t="s">
        <v>1164</v>
      </c>
      <c r="O27" s="89">
        <v>2</v>
      </c>
      <c r="P27" s="89">
        <v>1.9</v>
      </c>
      <c r="Q27" s="89">
        <v>1.8</v>
      </c>
      <c r="R27" s="89">
        <v>1</v>
      </c>
      <c r="T27" s="89">
        <v>159</v>
      </c>
      <c r="U27" s="89">
        <f>IF(Переплёт!$C$9&gt;Настройки!T27,1,0)*IF(SUM(U25:U26)=0,1,0)</f>
        <v>0</v>
      </c>
      <c r="V27" s="89">
        <f t="shared" si="2"/>
        <v>0</v>
      </c>
      <c r="W27" s="89">
        <f t="shared" si="2"/>
        <v>0</v>
      </c>
      <c r="X27" s="89">
        <f t="shared" si="2"/>
        <v>0</v>
      </c>
      <c r="Y27" s="89">
        <f t="shared" si="2"/>
        <v>0</v>
      </c>
      <c r="Z27" s="89">
        <f t="shared" si="2"/>
        <v>0</v>
      </c>
      <c r="AB27" s="89">
        <v>159</v>
      </c>
      <c r="AD27" s="328">
        <v>85.600000000000009</v>
      </c>
      <c r="AE27" s="328">
        <v>107</v>
      </c>
      <c r="AF27" s="328">
        <v>128.4</v>
      </c>
      <c r="AG27" s="328">
        <v>144.45000000000002</v>
      </c>
      <c r="AH27" s="89">
        <v>176</v>
      </c>
      <c r="AJ27" s="328"/>
      <c r="AK27" s="328"/>
      <c r="AL27" s="328"/>
      <c r="AM27" s="328"/>
    </row>
    <row r="28" spans="1:39" ht="15.75" thickBot="1">
      <c r="A28" s="92" t="s">
        <v>462</v>
      </c>
      <c r="B28" s="91">
        <v>240</v>
      </c>
      <c r="C28" s="93">
        <v>350</v>
      </c>
      <c r="D28" s="91">
        <v>300</v>
      </c>
      <c r="E28" s="93">
        <v>249</v>
      </c>
      <c r="F28" s="91">
        <v>243</v>
      </c>
      <c r="G28" s="93">
        <v>220</v>
      </c>
      <c r="H28" s="91">
        <v>215</v>
      </c>
      <c r="I28" s="93">
        <v>215</v>
      </c>
      <c r="J28" s="91">
        <v>200</v>
      </c>
      <c r="T28" s="89">
        <v>99</v>
      </c>
      <c r="U28" s="89">
        <f>IF(Переплёт!$C$9&gt;Настройки!T28,1,0)*IF(SUM(U25:U27)=0,1,0)</f>
        <v>1</v>
      </c>
      <c r="V28" s="89">
        <f t="shared" si="2"/>
        <v>0</v>
      </c>
      <c r="W28" s="89">
        <f t="shared" si="2"/>
        <v>0</v>
      </c>
      <c r="X28" s="89">
        <f t="shared" si="2"/>
        <v>0</v>
      </c>
      <c r="Y28" s="89">
        <f t="shared" si="2"/>
        <v>0</v>
      </c>
      <c r="Z28" s="89">
        <f t="shared" si="2"/>
        <v>150</v>
      </c>
      <c r="AB28" s="89">
        <v>99</v>
      </c>
      <c r="AD28" s="328">
        <v>53.5</v>
      </c>
      <c r="AE28" s="328">
        <v>64.2</v>
      </c>
      <c r="AF28" s="328">
        <v>74.900000000000006</v>
      </c>
      <c r="AG28" s="328">
        <v>117.7</v>
      </c>
      <c r="AH28" s="89">
        <v>150</v>
      </c>
      <c r="AJ28" s="328"/>
      <c r="AK28" s="328"/>
      <c r="AL28" s="328"/>
      <c r="AM28" s="328"/>
    </row>
    <row r="29" spans="1:39" ht="15.75" thickBot="1">
      <c r="A29" s="92" t="s">
        <v>463</v>
      </c>
      <c r="B29" s="91">
        <v>250</v>
      </c>
      <c r="C29" s="93">
        <v>510</v>
      </c>
      <c r="D29" s="91">
        <v>435</v>
      </c>
      <c r="E29" s="93">
        <v>361</v>
      </c>
      <c r="F29" s="91">
        <v>351</v>
      </c>
      <c r="G29" s="93">
        <v>320</v>
      </c>
      <c r="H29" s="91">
        <v>310</v>
      </c>
      <c r="I29" s="93">
        <v>310</v>
      </c>
      <c r="J29" s="91">
        <v>290</v>
      </c>
      <c r="T29" s="89">
        <v>49</v>
      </c>
      <c r="U29" s="89">
        <f>IF(Переплёт!$C$9&gt;Настройки!T29,1,0)*IF(SUM(U25:U28)=0,1,0)</f>
        <v>0</v>
      </c>
      <c r="V29" s="89">
        <f t="shared" si="2"/>
        <v>0</v>
      </c>
      <c r="W29" s="89">
        <f t="shared" si="2"/>
        <v>0</v>
      </c>
      <c r="X29" s="89">
        <f t="shared" si="2"/>
        <v>0</v>
      </c>
      <c r="Y29" s="89">
        <f t="shared" si="2"/>
        <v>0</v>
      </c>
      <c r="Z29" s="89">
        <f t="shared" si="2"/>
        <v>0</v>
      </c>
      <c r="AB29" s="89">
        <v>49</v>
      </c>
      <c r="AD29" s="328">
        <v>53.5</v>
      </c>
      <c r="AE29" s="328">
        <v>64.2</v>
      </c>
      <c r="AF29" s="328">
        <v>74.900000000000006</v>
      </c>
      <c r="AG29" s="328">
        <v>117.7</v>
      </c>
      <c r="AH29" s="89">
        <v>150</v>
      </c>
      <c r="AJ29" s="328"/>
      <c r="AK29" s="328"/>
      <c r="AL29" s="328"/>
      <c r="AM29" s="328"/>
    </row>
    <row r="30" spans="1:39" ht="15.75" thickBot="1">
      <c r="A30" s="92" t="s">
        <v>464</v>
      </c>
      <c r="B30" s="91">
        <v>280</v>
      </c>
      <c r="C30" s="93">
        <v>410</v>
      </c>
      <c r="D30" s="91">
        <v>350</v>
      </c>
      <c r="E30" s="93">
        <v>300</v>
      </c>
      <c r="F30" s="91">
        <v>283</v>
      </c>
      <c r="G30" s="93">
        <v>260</v>
      </c>
      <c r="H30" s="91">
        <v>260</v>
      </c>
      <c r="I30" s="93">
        <v>250</v>
      </c>
      <c r="J30" s="91">
        <v>240</v>
      </c>
      <c r="T30" s="89">
        <v>10</v>
      </c>
      <c r="U30" s="89">
        <f>IF(Переплёт!$C$9&gt;Настройки!T30,1,0)*IF(SUM(U25:U29)=0,1,0)</f>
        <v>0</v>
      </c>
      <c r="V30" s="89">
        <f t="shared" ref="V30:Y31" si="3">AD30*$U30*V$24</f>
        <v>0</v>
      </c>
      <c r="W30" s="89">
        <f t="shared" si="3"/>
        <v>0</v>
      </c>
      <c r="X30" s="89">
        <f t="shared" si="3"/>
        <v>0</v>
      </c>
      <c r="Y30" s="89">
        <f t="shared" si="3"/>
        <v>0</v>
      </c>
      <c r="Z30" s="89">
        <f>AH30*$U$30*Z$24</f>
        <v>0</v>
      </c>
      <c r="AB30" s="89">
        <v>10</v>
      </c>
      <c r="AD30" s="328">
        <v>53.5</v>
      </c>
      <c r="AE30" s="328">
        <v>64.2</v>
      </c>
      <c r="AF30" s="328">
        <v>74.900000000000006</v>
      </c>
      <c r="AG30" s="328">
        <v>117.7</v>
      </c>
      <c r="AH30" s="89">
        <v>150</v>
      </c>
      <c r="AJ30" s="328"/>
      <c r="AK30" s="328"/>
      <c r="AL30" s="328"/>
      <c r="AM30" s="328"/>
    </row>
    <row r="31" spans="1:39" ht="15.75" thickBot="1">
      <c r="A31" s="92" t="s">
        <v>465</v>
      </c>
      <c r="B31" s="91">
        <v>420</v>
      </c>
      <c r="C31" s="93">
        <v>640</v>
      </c>
      <c r="D31" s="91">
        <v>520</v>
      </c>
      <c r="E31" s="93">
        <v>441</v>
      </c>
      <c r="F31" s="91">
        <v>460</v>
      </c>
      <c r="G31" s="93">
        <v>400</v>
      </c>
      <c r="H31" s="91">
        <v>400</v>
      </c>
      <c r="I31" s="93">
        <v>390</v>
      </c>
      <c r="J31" s="91">
        <v>360</v>
      </c>
      <c r="N31" s="89" t="s">
        <v>849</v>
      </c>
      <c r="Q31" s="89" t="s">
        <v>862</v>
      </c>
      <c r="R31" s="89" t="s">
        <v>969</v>
      </c>
      <c r="S31" s="89" t="s">
        <v>970</v>
      </c>
      <c r="T31" s="89">
        <v>0</v>
      </c>
      <c r="U31" s="89">
        <f>IF(Переплёт!$C$9&gt;Настройки!T31,1,0)*IF(SUM(U25:U30)=0,1,0)</f>
        <v>0</v>
      </c>
      <c r="V31" s="89">
        <f t="shared" si="3"/>
        <v>0</v>
      </c>
      <c r="W31" s="89">
        <f t="shared" si="3"/>
        <v>0</v>
      </c>
      <c r="X31" s="89">
        <f t="shared" si="3"/>
        <v>0</v>
      </c>
      <c r="Y31" s="89">
        <f t="shared" si="3"/>
        <v>0</v>
      </c>
      <c r="Z31" s="89">
        <f>AH31*$U$31*Z$24</f>
        <v>0</v>
      </c>
      <c r="AB31" s="89">
        <v>0</v>
      </c>
      <c r="AD31" s="328">
        <v>53.5</v>
      </c>
      <c r="AE31" s="328">
        <v>64.2</v>
      </c>
      <c r="AF31" s="328">
        <v>74.900000000000006</v>
      </c>
      <c r="AG31" s="328">
        <v>117.7</v>
      </c>
      <c r="AH31" s="89">
        <v>150</v>
      </c>
      <c r="AJ31" s="328"/>
      <c r="AK31" s="328"/>
      <c r="AL31" s="328"/>
      <c r="AM31" s="328"/>
    </row>
    <row r="32" spans="1:39" ht="15.75" thickBot="1">
      <c r="A32" s="94" t="s">
        <v>466</v>
      </c>
      <c r="B32" s="95">
        <v>0.5</v>
      </c>
      <c r="C32" s="96">
        <v>1</v>
      </c>
      <c r="D32" s="97">
        <v>2</v>
      </c>
      <c r="E32" s="96">
        <v>5</v>
      </c>
      <c r="F32" s="96">
        <v>6</v>
      </c>
      <c r="G32" s="96">
        <v>8</v>
      </c>
      <c r="H32" s="97">
        <v>9</v>
      </c>
      <c r="I32" s="96">
        <v>10</v>
      </c>
      <c r="J32" s="97">
        <v>15</v>
      </c>
      <c r="N32" s="89" t="s">
        <v>277</v>
      </c>
      <c r="P32" s="89">
        <v>1.7</v>
      </c>
      <c r="R32" s="89">
        <v>500</v>
      </c>
      <c r="S32" s="89">
        <v>900</v>
      </c>
    </row>
    <row r="33" spans="1:19" ht="15.75" thickBot="1">
      <c r="A33" s="92"/>
      <c r="B33" s="91"/>
      <c r="C33" s="93"/>
      <c r="D33" s="91"/>
      <c r="E33" s="93"/>
      <c r="F33" s="91"/>
      <c r="G33" s="93"/>
      <c r="H33" s="91"/>
      <c r="I33" s="93"/>
      <c r="J33" s="91"/>
      <c r="N33" s="89" t="s">
        <v>865</v>
      </c>
      <c r="O33" s="89">
        <v>2000</v>
      </c>
      <c r="P33" s="89">
        <v>10000</v>
      </c>
      <c r="Q33" s="89">
        <v>25000</v>
      </c>
      <c r="R33" s="89">
        <v>50000</v>
      </c>
      <c r="S33" s="89">
        <v>75000</v>
      </c>
    </row>
    <row r="34" spans="1:19" ht="15.75" thickBot="1">
      <c r="A34" s="92"/>
      <c r="B34" s="91"/>
      <c r="C34" s="93"/>
      <c r="D34" s="91"/>
      <c r="E34" s="93"/>
      <c r="F34" s="91"/>
      <c r="G34" s="93"/>
      <c r="H34" s="91"/>
      <c r="I34" s="93"/>
      <c r="J34" s="91"/>
      <c r="N34" s="89">
        <f>Штампы!B9</f>
        <v>500</v>
      </c>
      <c r="O34" s="196">
        <f>$N$34*O35</f>
        <v>25</v>
      </c>
      <c r="P34" s="196">
        <f>$N$34*P35</f>
        <v>35</v>
      </c>
      <c r="Q34" s="196">
        <f>$N$34*Q35</f>
        <v>50</v>
      </c>
      <c r="R34" s="196">
        <f>$N$34*R35</f>
        <v>75</v>
      </c>
      <c r="S34" s="196">
        <f>$N$34*S35</f>
        <v>87.5</v>
      </c>
    </row>
    <row r="35" spans="1:19" ht="15.75" thickBot="1">
      <c r="A35" s="92"/>
      <c r="B35" s="91"/>
      <c r="C35" s="93"/>
      <c r="D35" s="91"/>
      <c r="E35" s="93"/>
      <c r="F35" s="91"/>
      <c r="G35" s="93"/>
      <c r="H35" s="91"/>
      <c r="I35" s="93"/>
      <c r="J35" s="91"/>
      <c r="N35" s="89">
        <f>IF(N34&gt;S33,N34-S34,IF(N34&gt;R33,N34-R34,IF(N34&gt;Q33,N34-Q34,IF(N34&gt;P33,N34-P34,IF(N34&gt;O33,N34-O34,N34)))))</f>
        <v>500</v>
      </c>
      <c r="O35" s="195">
        <v>0.05</v>
      </c>
      <c r="P35" s="195">
        <v>7.0000000000000007E-2</v>
      </c>
      <c r="Q35" s="195">
        <v>0.1</v>
      </c>
      <c r="R35" s="195">
        <v>0.15</v>
      </c>
      <c r="S35" s="195">
        <v>0.17499999999999999</v>
      </c>
    </row>
    <row r="36" spans="1:19" ht="15.75" thickBot="1">
      <c r="A36" s="92"/>
      <c r="B36" s="91"/>
      <c r="C36" s="93"/>
      <c r="D36" s="91"/>
      <c r="E36" s="93"/>
      <c r="F36" s="91"/>
      <c r="G36" s="93"/>
      <c r="H36" s="91"/>
      <c r="I36" s="93"/>
      <c r="J36" s="91"/>
    </row>
    <row r="37" spans="1:19" ht="15.75" thickBot="1">
      <c r="A37" s="92"/>
      <c r="B37" s="91"/>
      <c r="C37" s="93"/>
      <c r="D37" s="91"/>
      <c r="E37" s="93"/>
      <c r="F37" s="91"/>
      <c r="G37" s="93"/>
      <c r="H37" s="91"/>
      <c r="I37" s="93"/>
      <c r="J37" s="91"/>
    </row>
    <row r="38" spans="1:19" ht="15.75" thickBot="1">
      <c r="A38" s="92"/>
      <c r="B38" s="91"/>
      <c r="C38" s="93"/>
      <c r="D38" s="91"/>
      <c r="E38" s="93"/>
      <c r="F38" s="91"/>
      <c r="G38" s="93"/>
      <c r="H38" s="91"/>
      <c r="I38" s="93"/>
      <c r="J38" s="91"/>
    </row>
    <row r="39" spans="1:19" ht="15.75" thickBot="1">
      <c r="A39" s="92"/>
      <c r="B39" s="91"/>
      <c r="C39" s="93"/>
      <c r="D39" s="91"/>
      <c r="E39" s="93"/>
      <c r="F39" s="91"/>
      <c r="G39" s="93"/>
      <c r="H39" s="91"/>
      <c r="I39" s="93"/>
      <c r="J39" s="91"/>
    </row>
    <row r="40" spans="1:19" ht="15.75" thickBot="1">
      <c r="A40" s="92"/>
      <c r="B40" s="91"/>
      <c r="C40" s="91"/>
      <c r="D40" s="91"/>
      <c r="E40" s="93"/>
      <c r="F40" s="93"/>
      <c r="G40" s="93"/>
      <c r="H40" s="98"/>
      <c r="I40" s="99"/>
      <c r="J40" s="98"/>
    </row>
    <row r="41" spans="1:19" ht="15.75" thickBot="1">
      <c r="A41" s="92"/>
      <c r="B41" s="91"/>
      <c r="C41" s="91"/>
      <c r="D41" s="91"/>
      <c r="E41" s="93"/>
      <c r="F41" s="91"/>
      <c r="G41" s="93"/>
      <c r="H41" s="91"/>
      <c r="I41" s="93"/>
      <c r="J41" s="91"/>
    </row>
    <row r="42" spans="1:19" ht="15.75" thickBot="1">
      <c r="A42" s="92" t="s">
        <v>468</v>
      </c>
      <c r="B42" s="361" t="s">
        <v>469</v>
      </c>
      <c r="C42" s="362"/>
      <c r="D42" s="362"/>
      <c r="E42" s="362"/>
      <c r="F42" s="362"/>
      <c r="G42" s="362"/>
      <c r="H42" s="362"/>
      <c r="I42" s="362"/>
      <c r="J42" s="363"/>
    </row>
    <row r="43" spans="1:19" ht="15.75" thickBot="1">
      <c r="A43" s="100" t="s">
        <v>283</v>
      </c>
      <c r="B43" s="89">
        <f>Печать!A3</f>
        <v>100</v>
      </c>
      <c r="C43" s="89" t="s">
        <v>470</v>
      </c>
      <c r="D43" s="89">
        <f>B43/100</f>
        <v>1</v>
      </c>
      <c r="G43" s="101">
        <f>SUM(Печать!H95:I95)</f>
        <v>4</v>
      </c>
    </row>
  </sheetData>
  <mergeCells count="4">
    <mergeCell ref="A25:J25"/>
    <mergeCell ref="A26:A27"/>
    <mergeCell ref="B26:J26"/>
    <mergeCell ref="B42:J42"/>
  </mergeCells>
  <pageMargins left="0.7" right="0.7" top="0.75" bottom="0.75" header="0.3" footer="0.3"/>
  <pageSetup paperSize="9" orientation="portrait" r:id="rId1"/>
  <ignoredErrors>
    <ignoredError sqref="Y24" formula="1"/>
  </ignoredErrors>
  <legacyDrawing r:id="rId2"/>
</worksheet>
</file>

<file path=xl/worksheets/sheet11.xml><?xml version="1.0" encoding="utf-8"?>
<worksheet xmlns="http://schemas.openxmlformats.org/spreadsheetml/2006/main" xmlns:r="http://schemas.openxmlformats.org/officeDocument/2006/relationships">
  <dimension ref="A1:S109"/>
  <sheetViews>
    <sheetView workbookViewId="0">
      <selection activeCell="J21" sqref="J21"/>
    </sheetView>
  </sheetViews>
  <sheetFormatPr defaultColWidth="9.140625" defaultRowHeight="15"/>
  <cols>
    <col min="1" max="1" width="54.42578125" style="180" customWidth="1"/>
    <col min="2" max="2" width="9.140625" style="180"/>
    <col min="3" max="3" width="10.28515625" style="180" bestFit="1" customWidth="1"/>
    <col min="4" max="4" width="11.42578125" style="180" customWidth="1"/>
    <col min="5" max="5" width="9.140625" style="180"/>
    <col min="6" max="6" width="17.7109375" style="180" customWidth="1"/>
    <col min="7" max="7" width="39.28515625" style="180" customWidth="1"/>
    <col min="8" max="8" width="11.28515625" style="180" customWidth="1"/>
    <col min="9" max="9" width="9.140625" style="180"/>
    <col min="10" max="10" width="9.140625" style="287"/>
    <col min="11" max="16384" width="9.140625" style="180"/>
  </cols>
  <sheetData>
    <row r="1" spans="1:19">
      <c r="A1" s="283" t="s">
        <v>695</v>
      </c>
      <c r="B1" s="284" t="s">
        <v>999</v>
      </c>
      <c r="D1" s="285" t="s">
        <v>747</v>
      </c>
      <c r="E1" s="286"/>
    </row>
    <row r="2" spans="1:19">
      <c r="A2" s="288" t="s">
        <v>540</v>
      </c>
      <c r="B2" s="183">
        <v>720</v>
      </c>
      <c r="C2" s="180" t="s">
        <v>382</v>
      </c>
      <c r="F2" s="364" t="str">
        <f>A109</f>
        <v>Ваш заказ: Постерная бумага 150г/м2, Качество печати: 720 dpi, Тираж 1 шт., Длина - 1,2 м., Ширина - 0,6 м., , , Точный порез в край полотна, , , , , , , , , , ,  Всего услуг на сумму: 480 руб.</v>
      </c>
      <c r="G2" s="364"/>
      <c r="H2" s="364"/>
      <c r="I2" s="364"/>
      <c r="J2" s="364"/>
    </row>
    <row r="3" spans="1:19">
      <c r="A3" s="288" t="s">
        <v>283</v>
      </c>
      <c r="B3" s="183">
        <v>1</v>
      </c>
      <c r="F3" s="364"/>
      <c r="G3" s="364"/>
      <c r="H3" s="364"/>
      <c r="I3" s="364"/>
      <c r="J3" s="364"/>
    </row>
    <row r="4" spans="1:19">
      <c r="A4" s="288" t="s">
        <v>372</v>
      </c>
      <c r="B4" s="66">
        <v>1.2</v>
      </c>
      <c r="C4" s="289">
        <f>IF($B$3=1,B4,IF($Q$12=1,O14,B4))</f>
        <v>1.2</v>
      </c>
      <c r="F4" s="364"/>
      <c r="G4" s="364"/>
      <c r="H4" s="364"/>
      <c r="I4" s="364"/>
      <c r="J4" s="364"/>
    </row>
    <row r="5" spans="1:19">
      <c r="A5" s="288" t="s">
        <v>376</v>
      </c>
      <c r="B5" s="183">
        <v>0.6</v>
      </c>
      <c r="C5" s="289">
        <f>IF($B$3=1,B5,IF($Q$12=1,Q10,B5))</f>
        <v>0.6</v>
      </c>
      <c r="F5" s="364"/>
      <c r="G5" s="364"/>
      <c r="H5" s="364"/>
      <c r="I5" s="364"/>
      <c r="J5" s="364"/>
    </row>
    <row r="6" spans="1:19">
      <c r="A6" s="288" t="s">
        <v>377</v>
      </c>
      <c r="B6" s="183">
        <v>50</v>
      </c>
      <c r="F6" s="364"/>
      <c r="G6" s="364"/>
      <c r="H6" s="364"/>
      <c r="I6" s="364"/>
      <c r="J6" s="364"/>
    </row>
    <row r="7" spans="1:19">
      <c r="A7" s="288"/>
      <c r="F7" s="364"/>
      <c r="G7" s="364"/>
      <c r="H7" s="364"/>
      <c r="I7" s="364"/>
      <c r="J7" s="364"/>
    </row>
    <row r="8" spans="1:19">
      <c r="A8" s="288" t="s">
        <v>378</v>
      </c>
      <c r="B8" s="290">
        <f>C4*C5</f>
        <v>0.72</v>
      </c>
      <c r="C8" s="180">
        <f>B8</f>
        <v>0.72</v>
      </c>
      <c r="D8" s="180">
        <f>B4*B5</f>
        <v>0.72</v>
      </c>
    </row>
    <row r="9" spans="1:19">
      <c r="A9" s="288" t="s">
        <v>379</v>
      </c>
      <c r="B9" s="289">
        <f>(C4+C5)*2</f>
        <v>3.5999999999999996</v>
      </c>
      <c r="D9" s="180">
        <f>(B4+B5)*2</f>
        <v>3.5999999999999996</v>
      </c>
      <c r="N9" s="180" t="s">
        <v>506</v>
      </c>
      <c r="S9" s="180" t="s">
        <v>535</v>
      </c>
    </row>
    <row r="10" spans="1:19">
      <c r="A10" s="288"/>
      <c r="B10" s="253"/>
      <c r="G10" s="79" t="str">
        <f>'Стоимость за кв.м.'!A31</f>
        <v xml:space="preserve">ПОСЛЕПЕЧАТНАЯ ОБРАБОТКА                                                         </v>
      </c>
      <c r="H10" s="291" t="s">
        <v>374</v>
      </c>
      <c r="I10" s="292" t="s">
        <v>375</v>
      </c>
      <c r="J10" s="293" t="s">
        <v>527</v>
      </c>
      <c r="L10" s="294" t="s">
        <v>534</v>
      </c>
      <c r="M10" s="72" t="s">
        <v>373</v>
      </c>
      <c r="N10" s="180" t="str">
        <f>A4</f>
        <v>Длина в м.</v>
      </c>
      <c r="O10" s="180">
        <f>B4</f>
        <v>1.2</v>
      </c>
      <c r="P10" s="180" t="s">
        <v>507</v>
      </c>
      <c r="Q10" s="180">
        <v>0.95</v>
      </c>
      <c r="R10" s="295" t="s">
        <v>536</v>
      </c>
      <c r="S10" s="180" t="s">
        <v>295</v>
      </c>
    </row>
    <row r="11" spans="1:19">
      <c r="F11" s="183" t="s">
        <v>533</v>
      </c>
      <c r="G11" s="291" t="str">
        <f>'Стоимость за кв.м.'!A32</f>
        <v>Установка люверсов</v>
      </c>
      <c r="H11" s="296">
        <f>'Стоимость за кв.м.'!B32*I11*M11</f>
        <v>0</v>
      </c>
      <c r="I11" s="180">
        <f>CEILING(K11,2)</f>
        <v>8</v>
      </c>
      <c r="J11" s="287">
        <f>$B$3</f>
        <v>1</v>
      </c>
      <c r="K11" s="297">
        <f>D9/(B6/100)</f>
        <v>7.1999999999999993</v>
      </c>
      <c r="L11" s="180">
        <f>H11*J11</f>
        <v>0</v>
      </c>
      <c r="M11" s="180">
        <f>IF(F11=$S$12,R11,IF(F11=$S$10,1,0))</f>
        <v>0</v>
      </c>
      <c r="N11" s="180" t="str">
        <f>A5</f>
        <v>Ширина в м.</v>
      </c>
      <c r="O11" s="180">
        <f>B5</f>
        <v>0.6</v>
      </c>
      <c r="P11" s="180" t="s">
        <v>283</v>
      </c>
      <c r="Q11" s="180">
        <f>B3</f>
        <v>1</v>
      </c>
      <c r="R11" s="180">
        <f>IF(SUM(J38:J39,J41,J45:J45)&gt;0,1,0)</f>
        <v>0</v>
      </c>
      <c r="S11" s="180" t="s">
        <v>93</v>
      </c>
    </row>
    <row r="12" spans="1:19" ht="15.75" thickBot="1">
      <c r="A12" s="298" t="s">
        <v>316</v>
      </c>
      <c r="B12" s="299">
        <f>C12</f>
        <v>349.6</v>
      </c>
      <c r="C12" s="287">
        <f>IF($A$1=A38,K38,IF($A$1=A39,K39,IF($A$1=A40,K40,IF($A$1=A41,K41,IF($A$1=A43,K43,IF($A$1=A44,K44,IF($A$1=A45,K45,IF($A$1=G46,K46,IF($A$1=G47,K47,IF($A$1=G42,K42,0))))))))))</f>
        <v>349.6</v>
      </c>
      <c r="D12" s="287">
        <f>B12+H18</f>
        <v>479.6</v>
      </c>
      <c r="F12" s="183" t="s">
        <v>533</v>
      </c>
      <c r="G12" s="291" t="s">
        <v>539</v>
      </c>
      <c r="H12" s="296">
        <f>'Стоимость за кв.м.'!B33*D9*M12</f>
        <v>0</v>
      </c>
      <c r="J12" s="287">
        <f>$B$3</f>
        <v>1</v>
      </c>
      <c r="K12" s="180">
        <v>360</v>
      </c>
      <c r="L12" s="180">
        <f t="shared" ref="L12:L33" si="0">H12*J12</f>
        <v>0</v>
      </c>
      <c r="M12" s="180">
        <f t="shared" ref="M12:M17" si="1">IF(F12=$S$12,R12,IF(F12=$S$10,1,0))</f>
        <v>0</v>
      </c>
      <c r="N12" s="180" t="s">
        <v>508</v>
      </c>
      <c r="O12" s="180">
        <f>Q10/O10</f>
        <v>0.79166666666666663</v>
      </c>
      <c r="P12" s="180" t="s">
        <v>510</v>
      </c>
      <c r="Q12" s="180">
        <f>IF(0=IF(O10&gt;Q10,1,0)+IF(O11&gt;Q10,1,0),1,0)</f>
        <v>0</v>
      </c>
      <c r="R12" s="180">
        <f>IF(SUM(J38:J39,J41,J45:J45)&gt;0,1,0)</f>
        <v>0</v>
      </c>
      <c r="S12" s="180" t="s">
        <v>533</v>
      </c>
    </row>
    <row r="13" spans="1:19" ht="16.5" thickTop="1" thickBot="1">
      <c r="A13" s="298" t="s">
        <v>385</v>
      </c>
      <c r="B13" s="180">
        <v>0</v>
      </c>
      <c r="C13" s="42" t="s">
        <v>383</v>
      </c>
      <c r="D13" s="61">
        <f>CEILING($D$12*((100-B13)/100),1)+CEILING(B14,1)+H19</f>
        <v>480</v>
      </c>
      <c r="K13" s="180">
        <v>600</v>
      </c>
      <c r="N13" s="180" t="s">
        <v>509</v>
      </c>
      <c r="O13" s="180">
        <f>Q10/O11</f>
        <v>1.5833333333333333</v>
      </c>
      <c r="P13" s="180" t="s">
        <v>516</v>
      </c>
      <c r="Q13" s="180">
        <f>(CEILING(O14/Q14,1)*Q10)+IF(N14="по ширине",O13-1,O12-1)*O14</f>
        <v>1.65</v>
      </c>
      <c r="R13" s="294">
        <v>0</v>
      </c>
    </row>
    <row r="14" spans="1:19" ht="15.75" thickTop="1">
      <c r="A14" s="180" t="s">
        <v>519</v>
      </c>
      <c r="B14" s="180">
        <f>IF(B3=1,0,IF(Q12=1,0,B12*B3-B12))</f>
        <v>0</v>
      </c>
      <c r="F14" s="183" t="s">
        <v>533</v>
      </c>
      <c r="G14" s="291" t="str">
        <f>'Стоимость за кв.м.'!A35</f>
        <v>Точный порез в край полотна</v>
      </c>
      <c r="H14" s="291">
        <f>CEILING(IF(B4*2+B5*2&gt;1,(B4+B5)*2,1)*'Стоимость за кв.м.'!B35,10)*M14</f>
        <v>130</v>
      </c>
      <c r="J14" s="287">
        <f>$B$3</f>
        <v>1</v>
      </c>
      <c r="K14" s="180">
        <v>720</v>
      </c>
      <c r="L14" s="180">
        <f>IF(H16=0,H14*J14,0)</f>
        <v>130</v>
      </c>
      <c r="M14" s="180">
        <f t="shared" si="1"/>
        <v>1</v>
      </c>
      <c r="N14" s="180" t="str">
        <f>IF(O12*O10&gt;O13*O11,"по длине","по ширине")</f>
        <v>по ширине</v>
      </c>
      <c r="O14" s="180">
        <f>IF(N14="по ширине",CEILING(Q11/O13,1)*O10,CEILING(Q11/O12*O11,1))</f>
        <v>1.2</v>
      </c>
      <c r="P14" s="180" t="s">
        <v>517</v>
      </c>
      <c r="Q14" s="180">
        <f>IF(N14="по ширине",O10,O11)</f>
        <v>1.2</v>
      </c>
      <c r="R14" s="180">
        <f>IF(SUM(J38:J39,J41,J45:J45)&gt;0,0,1)</f>
        <v>1</v>
      </c>
    </row>
    <row r="15" spans="1:19">
      <c r="F15" s="183" t="s">
        <v>533</v>
      </c>
      <c r="G15" s="291" t="s">
        <v>380</v>
      </c>
      <c r="H15" s="291">
        <f>IF(B22=0,M15*'Стоимость за кв.м.'!B33*B5,0)*R11</f>
        <v>0</v>
      </c>
      <c r="J15" s="287">
        <f>$B$3</f>
        <v>1</v>
      </c>
      <c r="K15" s="180">
        <v>1440</v>
      </c>
      <c r="L15" s="180">
        <f t="shared" si="0"/>
        <v>0</v>
      </c>
      <c r="M15" s="180">
        <f t="shared" si="1"/>
        <v>0</v>
      </c>
      <c r="P15" s="180" t="s">
        <v>518</v>
      </c>
      <c r="Q15" s="180">
        <f>Q13*'Стоимость за кв.м.'!B36</f>
        <v>289.99475946926987</v>
      </c>
      <c r="R15" s="180">
        <f>IF(SUM(J38:J39,J41,J45:J45)&gt;0,1,0)</f>
        <v>0</v>
      </c>
    </row>
    <row r="16" spans="1:19">
      <c r="F16" s="183"/>
      <c r="G16" s="291"/>
      <c r="H16" s="291"/>
      <c r="P16" s="180" t="s">
        <v>518</v>
      </c>
      <c r="Q16" s="180">
        <f>Q13*'Стоимость за кв.м.'!B35</f>
        <v>57.75</v>
      </c>
      <c r="R16" s="180">
        <f>IF(SUM(J38:J39,J41,J45:J45)&gt;0,0,1)*IF(B3=1,0,1)</f>
        <v>0</v>
      </c>
    </row>
    <row r="17" spans="1:18">
      <c r="F17" s="183" t="s">
        <v>93</v>
      </c>
      <c r="G17" s="291" t="str">
        <f>'Стоимость за кв.м.'!A38</f>
        <v>Ламинация                                       м2</v>
      </c>
      <c r="H17" s="291">
        <f>'Стоимость за кв.м.'!B38*M17*IF(D8&gt;0.4,D8,0.4)</f>
        <v>0</v>
      </c>
      <c r="J17" s="287">
        <f>$B$3</f>
        <v>1</v>
      </c>
      <c r="L17" s="180">
        <f t="shared" si="0"/>
        <v>0</v>
      </c>
      <c r="M17" s="180">
        <f t="shared" si="1"/>
        <v>0</v>
      </c>
      <c r="R17" s="180">
        <f>IF(SUM(J38:J39,J41,J45:J45)&gt;0,0,1)</f>
        <v>1</v>
      </c>
    </row>
    <row r="18" spans="1:18">
      <c r="G18" s="291" t="s">
        <v>384</v>
      </c>
      <c r="H18" s="296">
        <f>SUM(L11:L17,L24:L33)*K23</f>
        <v>130</v>
      </c>
    </row>
    <row r="19" spans="1:18">
      <c r="G19" s="291" t="s">
        <v>633</v>
      </c>
      <c r="H19" s="180">
        <f>SUM('Изделия из пластика'!K4:K225)*B3</f>
        <v>0</v>
      </c>
    </row>
    <row r="20" spans="1:18">
      <c r="G20" s="291"/>
    </row>
    <row r="21" spans="1:18" s="287" customFormat="1">
      <c r="A21" s="287" t="s">
        <v>505</v>
      </c>
      <c r="B21" s="300"/>
      <c r="C21" s="300"/>
      <c r="F21" s="180"/>
      <c r="G21" s="291"/>
      <c r="H21" s="180"/>
      <c r="I21" s="300"/>
      <c r="J21" s="301" t="s">
        <v>1224</v>
      </c>
      <c r="L21" s="180"/>
    </row>
    <row r="22" spans="1:18" s="287" customFormat="1">
      <c r="A22" s="286" t="s">
        <v>501</v>
      </c>
      <c r="B22" s="287">
        <f>A70</f>
        <v>1.26</v>
      </c>
      <c r="C22" s="300"/>
      <c r="F22" s="180"/>
      <c r="G22" s="291"/>
      <c r="H22" s="180"/>
      <c r="I22" s="300"/>
      <c r="L22" s="180"/>
    </row>
    <row r="23" spans="1:18" s="287" customFormat="1">
      <c r="A23" s="288" t="s">
        <v>503</v>
      </c>
      <c r="B23" s="366" t="str">
        <f>IF(C5&lt;=3.2,"Одним Куском","Внимание Склейка!!!")</f>
        <v>Одним Куском</v>
      </c>
      <c r="C23" s="366"/>
      <c r="F23" s="180"/>
      <c r="G23" s="79" t="s">
        <v>532</v>
      </c>
      <c r="H23" s="180"/>
      <c r="I23" s="300"/>
      <c r="K23" s="287">
        <f>K24*K25*K26*K27*K29*K30</f>
        <v>1</v>
      </c>
      <c r="L23" s="180"/>
    </row>
    <row r="24" spans="1:18" s="287" customFormat="1">
      <c r="A24" s="302" t="s">
        <v>504</v>
      </c>
      <c r="B24" s="366" t="str">
        <f>IF(C5&lt;=1.6,"Одним Куском","Внимание Склейка!!!")</f>
        <v>Одним Куском</v>
      </c>
      <c r="C24" s="366"/>
      <c r="F24" s="183" t="s">
        <v>93</v>
      </c>
      <c r="G24" s="291" t="str">
        <f>CONCATENATE(Себестоимости!B181," ",Себестоимости!E181," ",Себестоимости!F181)</f>
        <v>Пвх-лист белый 1 мм</v>
      </c>
      <c r="H24" s="303">
        <f>IF(Настройки!$U$2=1,IF(F24=$S$10,Себестоимости!G181*D8,0),0)</f>
        <v>0</v>
      </c>
      <c r="I24" s="300"/>
      <c r="J24" s="287">
        <f t="shared" ref="J24:J33" si="2">$B$3</f>
        <v>1</v>
      </c>
      <c r="K24" s="287">
        <f t="shared" ref="K24:K30" si="3">IF(F24=$S$11,1,IF(H24=0,"неверный формат",1))</f>
        <v>1</v>
      </c>
      <c r="L24" s="180">
        <f t="shared" si="0"/>
        <v>0</v>
      </c>
    </row>
    <row r="25" spans="1:18" s="287" customFormat="1">
      <c r="A25" s="78" t="s">
        <v>511</v>
      </c>
      <c r="B25" s="286">
        <f>B22-0.02-(B74*M12)</f>
        <v>1.24</v>
      </c>
      <c r="C25" s="300"/>
      <c r="F25" s="183" t="s">
        <v>93</v>
      </c>
      <c r="G25" s="291" t="str">
        <f>CONCATENATE(Себестоимости!B182," ",Себестоимости!E182," ",Себестоимости!F182)</f>
        <v>Пвх-лист белый 3 мм</v>
      </c>
      <c r="H25" s="303">
        <f>IF(Настройки!$U$2=1,IF(F25=$S$10,Себестоимости!G182*D8,0),0)</f>
        <v>0</v>
      </c>
      <c r="I25" s="300"/>
      <c r="J25" s="287">
        <f>$B$3</f>
        <v>1</v>
      </c>
      <c r="K25" s="287">
        <f t="shared" si="3"/>
        <v>1</v>
      </c>
      <c r="L25" s="180">
        <f t="shared" si="0"/>
        <v>0</v>
      </c>
    </row>
    <row r="26" spans="1:18" s="287" customFormat="1">
      <c r="B26" s="300"/>
      <c r="C26" s="300"/>
      <c r="F26" s="183" t="s">
        <v>93</v>
      </c>
      <c r="G26" s="291" t="str">
        <f>CONCATENATE(Себестоимости!B183," ",Себестоимости!E183," ",Себестоимости!F183)</f>
        <v>Пвх-лист черный 3 мм</v>
      </c>
      <c r="H26" s="303">
        <f>IF(Настройки!$U$2=1,IF(F26=$S$10,Себестоимости!G183*D8,0),0)</f>
        <v>0</v>
      </c>
      <c r="I26" s="300"/>
      <c r="J26" s="287">
        <f t="shared" si="2"/>
        <v>1</v>
      </c>
      <c r="K26" s="287">
        <f t="shared" si="3"/>
        <v>1</v>
      </c>
      <c r="L26" s="180">
        <f t="shared" si="0"/>
        <v>0</v>
      </c>
    </row>
    <row r="27" spans="1:18" s="287" customFormat="1">
      <c r="B27" s="300"/>
      <c r="C27" s="300"/>
      <c r="F27" s="183" t="s">
        <v>93</v>
      </c>
      <c r="G27" s="291" t="str">
        <f>CONCATENATE(Себестоимости!B184," ",Себестоимости!E184," ",Себестоимости!F184)</f>
        <v>Пвх-лист белый 5 мм</v>
      </c>
      <c r="H27" s="303">
        <f>IF(Настройки!$U$2=1,IF(F27=$S$10,Себестоимости!G184*D8,0),0)</f>
        <v>0</v>
      </c>
      <c r="I27" s="300"/>
      <c r="J27" s="287">
        <f t="shared" si="2"/>
        <v>1</v>
      </c>
      <c r="K27" s="287">
        <f t="shared" si="3"/>
        <v>1</v>
      </c>
      <c r="L27" s="180">
        <f t="shared" si="0"/>
        <v>0</v>
      </c>
    </row>
    <row r="28" spans="1:18" s="287" customFormat="1">
      <c r="B28" s="300"/>
      <c r="C28" s="300"/>
      <c r="F28" s="183" t="s">
        <v>93</v>
      </c>
      <c r="G28" s="291" t="str">
        <f>CONCATENATE(Себестоимости!B185," ",Себестоимости!E185," ",Себестоимости!F185)</f>
        <v>Пвх-лист белый 10 мм</v>
      </c>
      <c r="H28" s="303">
        <f>IF(Настройки!$U$2=1,IF(F28=$S$10,Себестоимости!G185*D8,0),0)</f>
        <v>0</v>
      </c>
      <c r="I28" s="300"/>
      <c r="J28" s="287">
        <f t="shared" si="2"/>
        <v>1</v>
      </c>
      <c r="K28" s="287">
        <f>IF(F28=$S$11,1,IF(H28=0,"неверный формат",1))</f>
        <v>1</v>
      </c>
      <c r="L28" s="180">
        <f>H28*J28</f>
        <v>0</v>
      </c>
    </row>
    <row r="29" spans="1:18" s="287" customFormat="1">
      <c r="F29" s="183" t="s">
        <v>93</v>
      </c>
      <c r="G29" s="291" t="str">
        <f>'Стоимость за кв.м.'!A34</f>
        <v>Веревка пог/м</v>
      </c>
      <c r="H29" s="291">
        <f>CEILING('Стоимость за кв.м.'!B34*B9*1.8,10)*M29</f>
        <v>0</v>
      </c>
      <c r="I29" s="180"/>
      <c r="J29" s="287">
        <f t="shared" si="2"/>
        <v>1</v>
      </c>
      <c r="K29" s="287">
        <f t="shared" si="3"/>
        <v>1</v>
      </c>
      <c r="L29" s="180">
        <f t="shared" si="0"/>
        <v>0</v>
      </c>
      <c r="M29" s="180">
        <f>IF(F29=$S$12,R13,IF(F29=$S$10,1,0))</f>
        <v>0</v>
      </c>
    </row>
    <row r="30" spans="1:18" s="287" customFormat="1">
      <c r="F30" s="183" t="s">
        <v>93</v>
      </c>
      <c r="G30" s="291" t="s">
        <v>541</v>
      </c>
      <c r="H30" s="291">
        <f>IF(F30=$S$10,'Стоимость за кв.м.'!B49*Широкоформат!D8,0)</f>
        <v>0</v>
      </c>
      <c r="I30" s="300"/>
      <c r="J30" s="287">
        <f t="shared" si="2"/>
        <v>1</v>
      </c>
      <c r="K30" s="287">
        <f t="shared" si="3"/>
        <v>1</v>
      </c>
      <c r="L30" s="180">
        <f t="shared" si="0"/>
        <v>0</v>
      </c>
    </row>
    <row r="31" spans="1:18" s="287" customFormat="1">
      <c r="F31" s="291"/>
      <c r="G31" s="291" t="s">
        <v>1230</v>
      </c>
      <c r="H31" s="291"/>
      <c r="I31" s="300"/>
      <c r="J31" s="287">
        <f t="shared" si="2"/>
        <v>1</v>
      </c>
      <c r="L31" s="180">
        <f t="shared" si="0"/>
        <v>0</v>
      </c>
    </row>
    <row r="32" spans="1:18" s="287" customFormat="1">
      <c r="F32" s="291"/>
      <c r="G32" s="291" t="s">
        <v>1231</v>
      </c>
      <c r="H32" s="291"/>
      <c r="I32" s="300"/>
      <c r="J32" s="287">
        <f t="shared" si="2"/>
        <v>1</v>
      </c>
      <c r="L32" s="180">
        <f t="shared" si="0"/>
        <v>0</v>
      </c>
    </row>
    <row r="33" spans="1:12" s="287" customFormat="1">
      <c r="F33" s="291"/>
      <c r="G33" s="291"/>
      <c r="H33" s="291"/>
      <c r="I33" s="300"/>
      <c r="J33" s="287">
        <f t="shared" si="2"/>
        <v>1</v>
      </c>
      <c r="L33" s="180">
        <f t="shared" si="0"/>
        <v>0</v>
      </c>
    </row>
    <row r="34" spans="1:12" s="287" customFormat="1">
      <c r="B34" s="300"/>
      <c r="C34" s="300"/>
      <c r="H34" s="300"/>
      <c r="I34" s="300"/>
      <c r="J34" s="300"/>
    </row>
    <row r="35" spans="1:12" s="287" customFormat="1">
      <c r="B35" s="300"/>
      <c r="C35" s="300"/>
      <c r="H35" s="300"/>
      <c r="I35" s="300"/>
      <c r="J35" s="300"/>
    </row>
    <row r="36" spans="1:12">
      <c r="A36" s="289" t="str">
        <f>'Стоимость за кв.м.'!A1</f>
        <v>ШИРОКОФОРМАТНАЯ  ПЕЧАТЬ 3,2 м</v>
      </c>
      <c r="B36" s="367" t="str">
        <f>'Стоимость за кв.м.'!B1</f>
        <v>Стоимость - %</v>
      </c>
      <c r="C36" s="367"/>
      <c r="D36" s="368" t="s">
        <v>386</v>
      </c>
      <c r="E36" s="368"/>
      <c r="F36" s="368"/>
      <c r="G36" s="289" t="str">
        <f>'Стоимость за кв.м.'!A16</f>
        <v>ИНТЕРЬЕРНАЯ ПЕЧАТЬ до 1,6 м</v>
      </c>
      <c r="H36" s="367" t="s">
        <v>387</v>
      </c>
      <c r="I36" s="367"/>
      <c r="J36" s="300"/>
    </row>
    <row r="37" spans="1:12">
      <c r="A37" s="289" t="s">
        <v>388</v>
      </c>
      <c r="B37" s="289" t="str">
        <f>'Стоимость за кв.м.'!B2</f>
        <v>360dpi</v>
      </c>
      <c r="C37" s="289" t="str">
        <f>'Стоимость за кв.м.'!C2</f>
        <v>600dpi</v>
      </c>
      <c r="D37" s="286" t="s">
        <v>389</v>
      </c>
      <c r="E37" s="304"/>
      <c r="F37" s="305" t="s">
        <v>389</v>
      </c>
      <c r="H37" s="289" t="str">
        <f>'Стоимость за кв.м.'!B16</f>
        <v>720dpi</v>
      </c>
      <c r="I37" s="289" t="str">
        <f>'Стоимость за кв.м.'!C16</f>
        <v>1440dpi</v>
      </c>
    </row>
    <row r="38" spans="1:12">
      <c r="A38" s="289" t="str">
        <f>'Стоимость за кв.м.'!A3</f>
        <v>Банер 440г/м2 (Китай)</v>
      </c>
      <c r="B38" s="289">
        <f>CEILING('Стоимость за кв.м.'!B3*C8,5)</f>
        <v>210</v>
      </c>
      <c r="C38" s="289">
        <f>CEILING('Стоимость за кв.м.'!C3*C8,10)</f>
        <v>250</v>
      </c>
      <c r="D38" s="286">
        <f>($B$22-$C$5)*$C$4*'Размеры и перерасход'!K4</f>
        <v>79.2</v>
      </c>
      <c r="E38" s="304">
        <v>3.2</v>
      </c>
      <c r="F38" s="286">
        <f>($B$22-$C$5)*$C$4*'Размеры и перерасход'!K4</f>
        <v>79.2</v>
      </c>
      <c r="G38" s="289" t="str">
        <f>'Стоимость за кв.м.'!A21</f>
        <v>Банер 440г/м2(Китай)</v>
      </c>
      <c r="H38" s="289">
        <f>CEILING('Стоимость за кв.м.'!B21*C8,10)</f>
        <v>410</v>
      </c>
      <c r="I38" s="289">
        <f>CEILING('Стоимость за кв.м.'!C21*C8,10)</f>
        <v>500</v>
      </c>
      <c r="J38" s="287">
        <f>IF(A38=$A$1,1,0)</f>
        <v>0</v>
      </c>
      <c r="K38" s="297">
        <f t="shared" ref="K38:K47" si="4">IF($B$2=360,B38+D38,IF($B$2=600,C38+D38,IF($B$2=720,H38+F38,IF($B$2=1440,I38+F38,0))))</f>
        <v>489.2</v>
      </c>
    </row>
    <row r="39" spans="1:12">
      <c r="A39" s="289" t="str">
        <f>'Стоимость за кв.м.'!A5</f>
        <v>Банер 520г/м2 (Европа)</v>
      </c>
      <c r="B39" s="289">
        <f>CEILING('Стоимость за кв.м.'!B5*C8,10)</f>
        <v>280</v>
      </c>
      <c r="C39" s="289">
        <f>CEILING('Стоимость за кв.м.'!C5*C8,10)</f>
        <v>310</v>
      </c>
      <c r="D39" s="286">
        <f>($B$22-$C$5)*$C$4*'Размеры и перерасход'!K5</f>
        <v>110.88000000000001</v>
      </c>
      <c r="E39" s="304">
        <v>3.2</v>
      </c>
      <c r="F39" s="286">
        <f>($B$22-$C$5)*$C$4*'Размеры и перерасход'!K5</f>
        <v>110.88000000000001</v>
      </c>
      <c r="G39" s="289" t="str">
        <f>'Стоимость за кв.м.'!A22</f>
        <v>Банер 510г/м2(Европа)</v>
      </c>
      <c r="H39" s="289">
        <f>CEILING('Стоимость за кв.м.'!B22*C8,10)</f>
        <v>490</v>
      </c>
      <c r="I39" s="289">
        <f>CEILING('Стоимость за кв.м.'!C22*C8,10)</f>
        <v>580</v>
      </c>
      <c r="J39" s="287">
        <f>IF(A39=$A$1,2,0)</f>
        <v>0</v>
      </c>
      <c r="K39" s="297">
        <f t="shared" si="4"/>
        <v>600.88</v>
      </c>
    </row>
    <row r="40" spans="1:12">
      <c r="A40" s="289" t="str">
        <f>'Стоимость за кв.м.'!A6</f>
        <v>Бумага на синей подложке (blueback)</v>
      </c>
      <c r="B40" s="289">
        <f>CEILING('Стоимость за кв.м.'!B6*C8,10)</f>
        <v>110</v>
      </c>
      <c r="C40" s="289">
        <f>CEILING('Стоимость за кв.м.'!C6*C8,10)</f>
        <v>150</v>
      </c>
      <c r="D40" s="286">
        <f>($B$22-$C$5)*$C$4*'Размеры и перерасход'!K14</f>
        <v>35.64</v>
      </c>
      <c r="E40" s="304">
        <v>1.6</v>
      </c>
      <c r="F40" s="286">
        <f>($B$22-$C$5)*$C$4*'Размеры и перерасход'!K14</f>
        <v>35.64</v>
      </c>
      <c r="H40" s="180">
        <f>B40</f>
        <v>110</v>
      </c>
      <c r="I40" s="180">
        <f>C40</f>
        <v>150</v>
      </c>
      <c r="J40" s="287">
        <f>IF(A40=$A$1,3,0)</f>
        <v>0</v>
      </c>
      <c r="K40" s="297">
        <f t="shared" si="4"/>
        <v>145.63999999999999</v>
      </c>
    </row>
    <row r="41" spans="1:12">
      <c r="A41" s="289" t="str">
        <f>'Стоимость за кв.м.'!A9</f>
        <v>Банерная сетка 370г/м2</v>
      </c>
      <c r="B41" s="306">
        <f>'Стоимость за кв.м.'!B9*C8</f>
        <v>266.39999999999998</v>
      </c>
      <c r="C41" s="289">
        <f>CEILING('Стоимость за кв.м.'!C9*C8,10)</f>
        <v>310</v>
      </c>
      <c r="D41" s="286">
        <f>($B$22-$C$5)*$C$4*'Размеры и перерасход'!K15</f>
        <v>142.56</v>
      </c>
      <c r="E41" s="304">
        <v>3.2</v>
      </c>
      <c r="F41" s="286">
        <f>($B$22-$C$5)*$C$4*'Размеры и перерасход'!K15</f>
        <v>142.56</v>
      </c>
      <c r="G41" s="289" t="s">
        <v>390</v>
      </c>
      <c r="H41" s="295">
        <v>0</v>
      </c>
      <c r="I41" s="295">
        <v>0</v>
      </c>
      <c r="J41" s="287">
        <f>IF(A41=$A$1,4,0)</f>
        <v>0</v>
      </c>
      <c r="K41" s="297">
        <f>IF($B$2=360,B41+D41,IF($B$2=600,C41+D41,IF($B$2=720,H41+F41,IF($B$2=1440,I41+F41,0))))</f>
        <v>142.56</v>
      </c>
    </row>
    <row r="42" spans="1:12">
      <c r="A42" s="289" t="str">
        <f>'Стоимость за кв.м.'!A25</f>
        <v>Холст</v>
      </c>
      <c r="B42" s="289">
        <f>CEILING('Стоимость за кв.м.'!B25*C8,10)</f>
        <v>760</v>
      </c>
      <c r="C42" s="289">
        <f>CEILING('Стоимость за кв.м.'!B25*C8,10)</f>
        <v>760</v>
      </c>
      <c r="D42" s="286"/>
      <c r="E42" s="304"/>
      <c r="F42" s="286"/>
      <c r="G42" s="289" t="str">
        <f>'Стоимость за кв.м.'!A25</f>
        <v>Холст</v>
      </c>
      <c r="H42" s="289">
        <f>CEILING('Стоимость за кв.м.'!B25*C8,10)</f>
        <v>760</v>
      </c>
      <c r="I42" s="289">
        <f>CEILING('Стоимость за кв.м.'!B25*C8,10)</f>
        <v>760</v>
      </c>
      <c r="J42" s="287">
        <f>IF(A42=$A$1,4,0)</f>
        <v>0</v>
      </c>
      <c r="K42" s="297">
        <f>IF($B$2=360,B42+D42,IF($B$2=600,C42+D42,IF($B$2=720,H42+F42,IF($B$2=1440,I42+F42,0))))</f>
        <v>760</v>
      </c>
    </row>
    <row r="43" spans="1:12">
      <c r="A43" s="289" t="str">
        <f>'Стоимость за кв.м.'!A10</f>
        <v>Самоклеющаяся пленка (матовая глянцевая прозрачная)</v>
      </c>
      <c r="B43" s="289">
        <f>CEILING('Стоимость за кв.м.'!B10*C8,10)</f>
        <v>260</v>
      </c>
      <c r="C43" s="289">
        <f>CEILING('Стоимость за кв.м.'!C10*C8,10)</f>
        <v>290</v>
      </c>
      <c r="D43" s="286">
        <f>($B$22-$C$5)*$C$4*'Размеры и перерасход'!K8</f>
        <v>142.56</v>
      </c>
      <c r="E43" s="304">
        <v>1.6</v>
      </c>
      <c r="F43" s="286">
        <f>($B$22-$C$5)*$C$4*'Размеры и перерасход'!K8</f>
        <v>142.56</v>
      </c>
      <c r="G43" s="289" t="str">
        <f>'Стоимость за кв.м.'!A18</f>
        <v>Самоклеющаяся пленка (матовая глянцевая прозрачная)</v>
      </c>
      <c r="H43" s="289">
        <f>CEILING('Стоимость за кв.м.'!B18*C8,10)</f>
        <v>360</v>
      </c>
      <c r="I43" s="289">
        <f>CEILING('Стоимость за кв.м.'!C18*C8,10)</f>
        <v>480</v>
      </c>
      <c r="J43" s="287">
        <f>IF(A43=$A$1,5,0)</f>
        <v>0</v>
      </c>
      <c r="K43" s="297">
        <f t="shared" si="4"/>
        <v>502.56</v>
      </c>
    </row>
    <row r="44" spans="1:12">
      <c r="A44" s="289" t="str">
        <f>'Стоимость за кв.м.'!A12</f>
        <v>Самоклеющаяся пленка (транслюцентная)</v>
      </c>
      <c r="B44" s="295">
        <v>0</v>
      </c>
      <c r="C44" s="295">
        <v>0</v>
      </c>
      <c r="D44" s="286">
        <f>($B$22-$C$5)*$C$4*'Размеры и перерасход'!K9</f>
        <v>316.8</v>
      </c>
      <c r="E44" s="304">
        <v>1.37</v>
      </c>
      <c r="F44" s="286">
        <f>($B$22-$C$5)*$C$4*'Размеры и перерасход'!K9</f>
        <v>316.8</v>
      </c>
      <c r="G44" s="289" t="str">
        <f>'Стоимость за кв.м.'!A20</f>
        <v>Самоклеющаяся пленка (транслюцентная)</v>
      </c>
      <c r="H44" s="289">
        <f>CEILING('Стоимость за кв.м.'!B20*C8,10)</f>
        <v>540</v>
      </c>
      <c r="I44" s="289">
        <f>CEILING('Стоимость за кв.м.'!C20*C8,10)</f>
        <v>630</v>
      </c>
      <c r="J44" s="287">
        <f>IF(A44=$A$1,7,0)</f>
        <v>0</v>
      </c>
      <c r="K44" s="297">
        <f t="shared" si="4"/>
        <v>856.8</v>
      </c>
    </row>
    <row r="45" spans="1:12">
      <c r="A45" s="289" t="str">
        <f>'Стоимость за кв.м.'!A13</f>
        <v>Банер транслюцентный 440г/м2</v>
      </c>
      <c r="B45" s="289">
        <f>CEILING('Стоимость за кв.м.'!B13*C8,10)</f>
        <v>390</v>
      </c>
      <c r="C45" s="289">
        <f>CEILING('Стоимость за кв.м.'!C13*C8,10)</f>
        <v>430</v>
      </c>
      <c r="D45" s="286">
        <f>($B$22-$C$5)*$C$4*'Размеры и перерасход'!K6</f>
        <v>166.32000000000002</v>
      </c>
      <c r="E45" s="304">
        <v>3.2</v>
      </c>
      <c r="F45" s="286">
        <f>($B$22-$C$5)*$C$4*'Размеры и перерасход'!K6</f>
        <v>166.32000000000002</v>
      </c>
      <c r="G45" s="289" t="str">
        <f>'Стоимость за кв.м.'!A26</f>
        <v>Банер транслюцентный 440г/м2</v>
      </c>
      <c r="H45" s="289">
        <f>CEILING('Стоимость за кв.м.'!B26*C8,10)</f>
        <v>660</v>
      </c>
      <c r="I45" s="289">
        <f>CEILING('Стоимость за кв.м.'!C26*C8,10)</f>
        <v>750</v>
      </c>
      <c r="J45" s="287">
        <f>IF(A45=$A$1,8,0)</f>
        <v>0</v>
      </c>
      <c r="K45" s="297">
        <f t="shared" si="4"/>
        <v>826.32</v>
      </c>
    </row>
    <row r="46" spans="1:12" ht="15" customHeight="1">
      <c r="A46" s="180" t="s">
        <v>695</v>
      </c>
      <c r="B46" s="180">
        <v>0</v>
      </c>
      <c r="C46" s="180">
        <v>0</v>
      </c>
      <c r="E46" s="304">
        <v>1.6</v>
      </c>
      <c r="F46" s="286">
        <f>($B$22-$C$5)*$C$4*'Размеры и перерасход'!K12</f>
        <v>39.6</v>
      </c>
      <c r="G46" s="289" t="s">
        <v>695</v>
      </c>
      <c r="H46" s="289">
        <f>CEILING('Стоимость за кв.м.'!B23*C8,10)</f>
        <v>310</v>
      </c>
      <c r="I46" s="289">
        <f>CEILING('Стоимость за кв.м.'!C23*C8,10)</f>
        <v>400</v>
      </c>
      <c r="J46" s="287">
        <f>IF(G46=$A$1,11,0)</f>
        <v>11</v>
      </c>
      <c r="K46" s="297">
        <f>IF($B$2=360,B46+D46,IF($B$2=600,C46+D46,IF($B$2=720,H46+F46,I46+F46)))</f>
        <v>349.6</v>
      </c>
    </row>
    <row r="47" spans="1:12">
      <c r="A47" s="180" t="s">
        <v>696</v>
      </c>
      <c r="B47" s="180">
        <v>0</v>
      </c>
      <c r="C47" s="180">
        <v>0</v>
      </c>
      <c r="E47" s="304">
        <v>1.6</v>
      </c>
      <c r="F47" s="286">
        <f>($B$22-$C$5)*$C$4*'Размеры и перерасход'!K13</f>
        <v>158.4</v>
      </c>
      <c r="G47" s="289" t="str">
        <f>'Стоимость за кв.м.'!A24</f>
        <v>Фото бумага 200г/м2</v>
      </c>
      <c r="H47" s="289">
        <f>CEILING('Стоимость за кв.м.'!B24*C8,10)</f>
        <v>580</v>
      </c>
      <c r="I47" s="289">
        <f>CEILING('Стоимость за кв.м.'!C24*C8,10)</f>
        <v>670</v>
      </c>
      <c r="J47" s="287">
        <f>IF(G47=$A$1,12,0)</f>
        <v>0</v>
      </c>
      <c r="K47" s="297">
        <f t="shared" si="4"/>
        <v>738.4</v>
      </c>
    </row>
    <row r="48" spans="1:12" ht="17.25" customHeight="1">
      <c r="A48" s="307" t="str">
        <f>'Стоимость за кв.м.'!A39</f>
        <v>Печать и прикатка на пластик, ПВХ 3 мм</v>
      </c>
      <c r="B48" s="307">
        <f>CEILING('Стоимость за кв.м.'!B39*$B$8,10)</f>
        <v>170</v>
      </c>
      <c r="C48" s="369" t="s">
        <v>391</v>
      </c>
      <c r="D48" s="369"/>
      <c r="E48" s="308"/>
    </row>
    <row r="49" spans="1:13">
      <c r="A49" s="307" t="str">
        <f>'Стоимость за кв.м.'!A40</f>
        <v>Печать и прикатка на пластик, ПВХ 5 мм.</v>
      </c>
      <c r="B49" s="307">
        <f>CEILING('Стоимость за кв.м.'!B40*$B$8,10)</f>
        <v>170</v>
      </c>
      <c r="C49" s="369"/>
      <c r="D49" s="369"/>
    </row>
    <row r="50" spans="1:13" ht="15" customHeight="1">
      <c r="A50" s="307" t="str">
        <f>'Стоимость за кв.м.'!A41</f>
        <v>Печать и прикатка на оцинкованный метал. Лист</v>
      </c>
      <c r="B50" s="307">
        <f>CEILING('Стоимость за кв.м.'!B41*$B$8,10)</f>
        <v>170</v>
      </c>
      <c r="C50" s="369"/>
      <c r="D50" s="369"/>
    </row>
    <row r="51" spans="1:13">
      <c r="A51" s="180" t="s">
        <v>392</v>
      </c>
    </row>
    <row r="53" spans="1:13">
      <c r="A53" s="355" t="s">
        <v>393</v>
      </c>
      <c r="B53" s="365"/>
      <c r="C53" s="365"/>
      <c r="D53" s="365"/>
      <c r="E53" s="365"/>
      <c r="F53" s="365"/>
      <c r="G53" s="365"/>
      <c r="H53" s="365"/>
      <c r="I53" s="365"/>
      <c r="J53" s="365"/>
      <c r="K53" s="365"/>
      <c r="L53" s="365"/>
      <c r="M53" s="365"/>
    </row>
    <row r="54" spans="1:13" ht="15.75" thickBot="1">
      <c r="A54" s="365"/>
      <c r="B54" s="365"/>
      <c r="C54" s="365"/>
      <c r="D54" s="365"/>
      <c r="E54" s="365"/>
      <c r="F54" s="365"/>
      <c r="G54" s="365"/>
      <c r="H54" s="365"/>
      <c r="I54" s="365"/>
      <c r="J54" s="365"/>
      <c r="K54" s="365"/>
      <c r="L54" s="365"/>
      <c r="M54" s="365"/>
    </row>
    <row r="55" spans="1:13" ht="21.75" thickBot="1">
      <c r="A55" s="10" t="s">
        <v>394</v>
      </c>
      <c r="B55" s="309">
        <v>1</v>
      </c>
      <c r="C55" s="309">
        <v>1.26</v>
      </c>
      <c r="D55" s="309">
        <v>1.37</v>
      </c>
      <c r="E55" s="309">
        <v>1.4</v>
      </c>
      <c r="F55" s="309">
        <v>1.52</v>
      </c>
      <c r="G55" s="309">
        <v>1.6</v>
      </c>
      <c r="H55" s="309">
        <v>2.2000000000000002</v>
      </c>
      <c r="I55" s="309">
        <v>2.5</v>
      </c>
      <c r="J55" s="310">
        <v>3.2</v>
      </c>
      <c r="K55" s="311" t="s">
        <v>395</v>
      </c>
      <c r="L55" s="311"/>
      <c r="M55" s="311"/>
    </row>
    <row r="56" spans="1:13" ht="15.75" thickBot="1">
      <c r="A56" s="294" t="str">
        <f>A38</f>
        <v>Банер 440г/м2 (Китай)</v>
      </c>
      <c r="B56" s="312">
        <v>0</v>
      </c>
      <c r="C56" s="312">
        <v>0</v>
      </c>
      <c r="D56" s="16">
        <v>1</v>
      </c>
      <c r="E56" s="312">
        <v>0</v>
      </c>
      <c r="F56" s="312">
        <v>0</v>
      </c>
      <c r="G56" s="16">
        <v>1</v>
      </c>
      <c r="H56" s="16">
        <v>1</v>
      </c>
      <c r="I56" s="16">
        <v>1</v>
      </c>
      <c r="J56" s="17">
        <v>1</v>
      </c>
      <c r="K56" s="75">
        <v>60</v>
      </c>
    </row>
    <row r="57" spans="1:13">
      <c r="A57" s="294" t="str">
        <f>A39</f>
        <v>Банер 520г/м2 (Европа)</v>
      </c>
      <c r="B57" s="312">
        <v>0</v>
      </c>
      <c r="C57" s="312">
        <v>0</v>
      </c>
      <c r="D57" s="16">
        <v>1</v>
      </c>
      <c r="E57" s="312">
        <v>0</v>
      </c>
      <c r="F57" s="312">
        <v>0</v>
      </c>
      <c r="G57" s="16">
        <v>1</v>
      </c>
      <c r="H57" s="16">
        <v>1</v>
      </c>
      <c r="I57" s="16">
        <v>1</v>
      </c>
      <c r="J57" s="17">
        <v>1</v>
      </c>
      <c r="K57" s="75">
        <v>80</v>
      </c>
    </row>
    <row r="58" spans="1:13" ht="15.75" thickBot="1">
      <c r="A58" s="294" t="str">
        <f>A40</f>
        <v>Бумага на синей подложке (blueback)</v>
      </c>
      <c r="B58" s="313">
        <v>0</v>
      </c>
      <c r="C58" s="313">
        <v>0</v>
      </c>
      <c r="D58" s="313">
        <v>0</v>
      </c>
      <c r="E58" s="313">
        <v>0</v>
      </c>
      <c r="F58" s="313">
        <v>0</v>
      </c>
      <c r="G58" s="29">
        <v>1</v>
      </c>
      <c r="H58" s="313">
        <v>0</v>
      </c>
      <c r="I58" s="313">
        <v>0</v>
      </c>
      <c r="J58" s="314">
        <v>0</v>
      </c>
      <c r="K58" s="315">
        <v>25</v>
      </c>
    </row>
    <row r="59" spans="1:13" ht="15.75" thickBot="1">
      <c r="A59" s="294" t="str">
        <f>A41</f>
        <v>Банерная сетка 370г/м2</v>
      </c>
      <c r="B59" s="313">
        <v>0</v>
      </c>
      <c r="C59" s="313">
        <v>0</v>
      </c>
      <c r="D59" s="313">
        <v>0</v>
      </c>
      <c r="E59" s="313">
        <v>0</v>
      </c>
      <c r="F59" s="313">
        <v>0</v>
      </c>
      <c r="G59" s="29">
        <v>0</v>
      </c>
      <c r="H59" s="313">
        <v>0</v>
      </c>
      <c r="I59" s="313">
        <v>0</v>
      </c>
      <c r="J59" s="314">
        <v>1</v>
      </c>
      <c r="K59" s="315">
        <v>90</v>
      </c>
    </row>
    <row r="60" spans="1:13">
      <c r="A60" s="294" t="str">
        <f>A43</f>
        <v>Самоклеющаяся пленка (матовая глянцевая прозрачная)</v>
      </c>
      <c r="B60" s="21">
        <v>1</v>
      </c>
      <c r="C60" s="21">
        <v>1</v>
      </c>
      <c r="D60" s="21">
        <v>1</v>
      </c>
      <c r="E60" s="316">
        <v>0</v>
      </c>
      <c r="F60" s="21">
        <v>1</v>
      </c>
      <c r="G60" s="21">
        <v>1</v>
      </c>
      <c r="H60" s="21">
        <v>0</v>
      </c>
      <c r="I60" s="316">
        <v>0</v>
      </c>
      <c r="J60" s="317">
        <v>0</v>
      </c>
      <c r="K60" s="315">
        <v>80</v>
      </c>
    </row>
    <row r="61" spans="1:13">
      <c r="A61" s="294"/>
      <c r="B61" s="316">
        <v>0</v>
      </c>
      <c r="C61" s="316">
        <v>0</v>
      </c>
      <c r="D61" s="21">
        <v>1</v>
      </c>
      <c r="E61" s="316">
        <v>0</v>
      </c>
      <c r="F61" s="316">
        <v>0</v>
      </c>
      <c r="G61" s="316">
        <v>0</v>
      </c>
      <c r="H61" s="316">
        <v>0</v>
      </c>
      <c r="I61" s="316">
        <v>0</v>
      </c>
      <c r="J61" s="317">
        <v>0</v>
      </c>
      <c r="K61" s="315">
        <v>220</v>
      </c>
    </row>
    <row r="62" spans="1:13">
      <c r="A62" s="294" t="str">
        <f>A44</f>
        <v>Самоклеющаяся пленка (транслюцентная)</v>
      </c>
      <c r="B62" s="318">
        <v>0</v>
      </c>
      <c r="C62" s="318">
        <v>0</v>
      </c>
      <c r="D62" s="25">
        <v>1</v>
      </c>
      <c r="E62" s="318">
        <v>0</v>
      </c>
      <c r="F62" s="318">
        <v>0</v>
      </c>
      <c r="G62" s="318" t="s">
        <v>398</v>
      </c>
      <c r="H62" s="318">
        <v>0</v>
      </c>
      <c r="I62" s="318">
        <v>0</v>
      </c>
      <c r="J62" s="319">
        <v>0</v>
      </c>
      <c r="K62" s="315">
        <v>220</v>
      </c>
    </row>
    <row r="63" spans="1:13">
      <c r="A63" s="294" t="str">
        <f>A45</f>
        <v>Банер транслюцентный 440г/м2</v>
      </c>
      <c r="B63" s="318">
        <v>0</v>
      </c>
      <c r="C63" s="318">
        <v>0</v>
      </c>
      <c r="D63" s="25">
        <v>0</v>
      </c>
      <c r="E63" s="318">
        <v>0</v>
      </c>
      <c r="F63" s="318">
        <v>0</v>
      </c>
      <c r="G63" s="318" t="s">
        <v>398</v>
      </c>
      <c r="H63" s="318">
        <v>0</v>
      </c>
      <c r="I63" s="318">
        <v>0</v>
      </c>
      <c r="J63" s="319">
        <v>0</v>
      </c>
      <c r="K63" s="315">
        <v>140</v>
      </c>
    </row>
    <row r="64" spans="1:13">
      <c r="A64" s="294"/>
      <c r="B64" s="318">
        <v>0</v>
      </c>
      <c r="C64" s="318">
        <v>0</v>
      </c>
      <c r="D64" s="25">
        <v>0</v>
      </c>
      <c r="E64" s="318">
        <v>0</v>
      </c>
      <c r="F64" s="318">
        <v>0</v>
      </c>
      <c r="G64" s="318" t="s">
        <v>398</v>
      </c>
      <c r="H64" s="318">
        <v>0</v>
      </c>
      <c r="I64" s="318">
        <v>0</v>
      </c>
      <c r="J64" s="318" t="s">
        <v>398</v>
      </c>
      <c r="K64" s="315">
        <v>80</v>
      </c>
    </row>
    <row r="65" spans="1:11">
      <c r="A65" s="294"/>
      <c r="B65" s="318">
        <v>0</v>
      </c>
      <c r="C65" s="318">
        <v>0</v>
      </c>
      <c r="D65" s="25">
        <v>0</v>
      </c>
      <c r="E65" s="318">
        <v>0</v>
      </c>
      <c r="F65" s="318">
        <v>0</v>
      </c>
      <c r="G65" s="318" t="s">
        <v>398</v>
      </c>
      <c r="H65" s="318">
        <v>0</v>
      </c>
      <c r="I65" s="318">
        <v>0</v>
      </c>
      <c r="J65" s="318" t="s">
        <v>398</v>
      </c>
      <c r="K65" s="320">
        <v>80</v>
      </c>
    </row>
    <row r="66" spans="1:11">
      <c r="A66" s="294" t="str">
        <f>A46</f>
        <v>Постерная бумага 150г/м2</v>
      </c>
      <c r="B66" s="316">
        <v>0</v>
      </c>
      <c r="C66" s="21">
        <v>1</v>
      </c>
      <c r="D66" s="316">
        <v>0</v>
      </c>
      <c r="E66" s="21">
        <v>1</v>
      </c>
      <c r="F66" s="316">
        <v>0</v>
      </c>
      <c r="G66" s="21">
        <v>1</v>
      </c>
      <c r="H66" s="316">
        <v>0</v>
      </c>
      <c r="I66" s="316">
        <v>0</v>
      </c>
      <c r="J66" s="317">
        <v>0</v>
      </c>
      <c r="K66" s="320">
        <v>50</v>
      </c>
    </row>
    <row r="67" spans="1:11">
      <c r="A67" s="294" t="str">
        <f>A47</f>
        <v>Фото бумага 200г/м2</v>
      </c>
      <c r="B67" s="318">
        <v>0</v>
      </c>
      <c r="C67" s="318">
        <v>0</v>
      </c>
      <c r="D67" s="25">
        <v>1</v>
      </c>
      <c r="E67" s="318">
        <v>0</v>
      </c>
      <c r="F67" s="318">
        <v>0</v>
      </c>
      <c r="G67" s="25">
        <v>1</v>
      </c>
      <c r="H67" s="318">
        <v>0</v>
      </c>
      <c r="I67" s="318">
        <v>0</v>
      </c>
      <c r="J67" s="319">
        <v>0</v>
      </c>
      <c r="K67" s="320">
        <v>200</v>
      </c>
    </row>
    <row r="68" spans="1:11">
      <c r="A68" s="180" t="str">
        <f>A1</f>
        <v>Постерная бумага 150г/м2</v>
      </c>
      <c r="B68" s="180">
        <f t="shared" ref="B68:J68" si="5">IF($C$5+$B$73+$B$74*$M$12&gt;B55,0,B55)</f>
        <v>1</v>
      </c>
      <c r="C68" s="180">
        <f t="shared" si="5"/>
        <v>1.26</v>
      </c>
      <c r="D68" s="180">
        <f t="shared" si="5"/>
        <v>1.37</v>
      </c>
      <c r="E68" s="180">
        <f t="shared" si="5"/>
        <v>1.4</v>
      </c>
      <c r="F68" s="180">
        <f t="shared" si="5"/>
        <v>1.52</v>
      </c>
      <c r="G68" s="180">
        <f t="shared" si="5"/>
        <v>1.6</v>
      </c>
      <c r="H68" s="180">
        <f t="shared" si="5"/>
        <v>2.2000000000000002</v>
      </c>
      <c r="I68" s="180">
        <f t="shared" si="5"/>
        <v>2.5</v>
      </c>
      <c r="J68" s="180">
        <f t="shared" si="5"/>
        <v>3.2</v>
      </c>
    </row>
    <row r="69" spans="1:11">
      <c r="A69" s="180" t="s">
        <v>502</v>
      </c>
      <c r="B69" s="180">
        <f>IF($A$68=$A$56,B56,IF($A$68=$A$57,B57,IF($A$68=$A$58,B58,IF($A$68=$A$59,B59,IF($A$68=$A$60,B60,IF($A$68=$A$61,B61,IF($A$68=$A$62,B62,IF($A$68=$A$63,B63,IF($A$68=$A$64,B64,IF($A$68=$A$65,B65,IF($A$68=$A$66,B66,B67)))))))))))</f>
        <v>0</v>
      </c>
      <c r="C69" s="180">
        <f t="shared" ref="C69:K69" si="6">IF($A$68=$A$56,C56,IF($A$68=$A$57,C57,IF($A$68=$A$58,C58,IF($A$68=$A$59,C59,IF($A$68=$A$60,C60,IF($A$68=$A$61,C61,IF($A$68=$A$62,C62,IF($A$68=$A$63,C63,IF($A$68=$A$64,C64,IF($A$68=$A$65,C65,IF($A$68=$A$66,C66,C67)))))))))))</f>
        <v>1</v>
      </c>
      <c r="D69" s="180">
        <f t="shared" si="6"/>
        <v>0</v>
      </c>
      <c r="E69" s="180">
        <f t="shared" si="6"/>
        <v>1</v>
      </c>
      <c r="F69" s="180">
        <f t="shared" si="6"/>
        <v>0</v>
      </c>
      <c r="G69" s="180">
        <f t="shared" si="6"/>
        <v>1</v>
      </c>
      <c r="H69" s="180">
        <f t="shared" si="6"/>
        <v>0</v>
      </c>
      <c r="I69" s="180">
        <f t="shared" si="6"/>
        <v>0</v>
      </c>
      <c r="J69" s="180">
        <f t="shared" si="6"/>
        <v>0</v>
      </c>
      <c r="K69" s="180">
        <f t="shared" si="6"/>
        <v>50</v>
      </c>
    </row>
    <row r="70" spans="1:11">
      <c r="A70" s="292">
        <f>IF(B70&gt;0,B70,IF(C70&gt;0,C70,IF(D70&gt;0,D70,IF(E70&gt;0,E70,IF(F70&gt;0,F70,IF(G70&gt;0,G70,IF(H70&gt;0,H70,IF(I70&gt;0,I70,IF(J70&gt;0,J70,0)))))))))</f>
        <v>1.26</v>
      </c>
      <c r="B70" s="180">
        <f t="shared" ref="B70:G70" si="7">B68*B69</f>
        <v>0</v>
      </c>
      <c r="C70" s="180">
        <f t="shared" si="7"/>
        <v>1.26</v>
      </c>
      <c r="D70" s="180">
        <f t="shared" si="7"/>
        <v>0</v>
      </c>
      <c r="E70" s="180">
        <f t="shared" si="7"/>
        <v>1.4</v>
      </c>
      <c r="F70" s="180">
        <f t="shared" si="7"/>
        <v>0</v>
      </c>
      <c r="G70" s="180">
        <f t="shared" si="7"/>
        <v>1.6</v>
      </c>
      <c r="H70" s="180">
        <f>IF($B$2&lt;700,H68*H69,0)</f>
        <v>0</v>
      </c>
      <c r="I70" s="180">
        <f>IF($B$2&lt;700,I68*I69,0)</f>
        <v>0</v>
      </c>
      <c r="J70" s="180">
        <f>IF($B$2&lt;700,J68*J69,0)</f>
        <v>0</v>
      </c>
    </row>
    <row r="72" spans="1:11">
      <c r="A72" s="180" t="s">
        <v>512</v>
      </c>
    </row>
    <row r="73" spans="1:11">
      <c r="A73" s="180" t="s">
        <v>513</v>
      </c>
      <c r="B73" s="180">
        <v>0.02</v>
      </c>
    </row>
    <row r="74" spans="1:11">
      <c r="A74" s="180" t="s">
        <v>514</v>
      </c>
      <c r="B74" s="180">
        <v>7.0000000000000007E-2</v>
      </c>
    </row>
    <row r="76" spans="1:11">
      <c r="A76" s="180" t="str">
        <f>G76</f>
        <v>Постерная бумага 150г/м2</v>
      </c>
      <c r="G76" s="180" t="str">
        <f t="shared" ref="G76:G84" si="8">A1</f>
        <v>Постерная бумага 150г/м2</v>
      </c>
    </row>
    <row r="77" spans="1:11">
      <c r="A77" s="180" t="str">
        <f>CONCATENATE(G77,": ",H77," dpi")</f>
        <v>Качество печати: 720 dpi</v>
      </c>
      <c r="G77" s="180" t="str">
        <f t="shared" si="8"/>
        <v>Качество печати</v>
      </c>
      <c r="H77" s="180">
        <f t="shared" ref="H77:H84" si="9">B2</f>
        <v>720</v>
      </c>
    </row>
    <row r="78" spans="1:11">
      <c r="A78" s="180" t="str">
        <f>CONCATENATE(G78," ",H78," шт.")</f>
        <v>Тираж 1 шт.</v>
      </c>
      <c r="G78" s="180" t="str">
        <f t="shared" si="8"/>
        <v>Тираж</v>
      </c>
      <c r="H78" s="180">
        <f t="shared" si="9"/>
        <v>1</v>
      </c>
      <c r="J78" s="287" t="s">
        <v>1224</v>
      </c>
    </row>
    <row r="79" spans="1:11">
      <c r="A79" s="180" t="str">
        <f>CONCATENATE("Длина - ",H79," м.")</f>
        <v>Длина - 1,2 м.</v>
      </c>
      <c r="G79" s="180" t="str">
        <f t="shared" si="8"/>
        <v>Длина в м.</v>
      </c>
      <c r="H79" s="180">
        <f t="shared" si="9"/>
        <v>1.2</v>
      </c>
    </row>
    <row r="80" spans="1:11">
      <c r="A80" s="180" t="str">
        <f>CONCATENATE("Ширина - ",H80," м.")</f>
        <v>Ширина - 0,6 м.</v>
      </c>
      <c r="G80" s="180" t="str">
        <f t="shared" si="8"/>
        <v>Ширина в м.</v>
      </c>
      <c r="H80" s="180">
        <f t="shared" si="9"/>
        <v>0.6</v>
      </c>
    </row>
    <row r="81" spans="1:9">
      <c r="A81" s="180" t="str">
        <f>IF(H88&gt;0,CONCATENATE("Шаг люверсов - ",H81," см."),"")</f>
        <v/>
      </c>
      <c r="G81" s="180" t="str">
        <f t="shared" si="8"/>
        <v>Шаг люверса в см.</v>
      </c>
      <c r="H81" s="180">
        <f t="shared" si="9"/>
        <v>50</v>
      </c>
    </row>
    <row r="82" spans="1:9">
      <c r="G82" s="180">
        <f t="shared" si="8"/>
        <v>0</v>
      </c>
      <c r="H82" s="180">
        <f t="shared" si="9"/>
        <v>0</v>
      </c>
    </row>
    <row r="83" spans="1:9">
      <c r="G83" s="180" t="str">
        <f t="shared" si="8"/>
        <v>Площадь</v>
      </c>
      <c r="H83" s="180">
        <f t="shared" si="9"/>
        <v>0.72</v>
      </c>
    </row>
    <row r="84" spans="1:9">
      <c r="G84" s="180" t="str">
        <f t="shared" si="8"/>
        <v>Периметр</v>
      </c>
      <c r="H84" s="180">
        <f t="shared" si="9"/>
        <v>3.5999999999999996</v>
      </c>
    </row>
    <row r="86" spans="1:9">
      <c r="G86" s="180">
        <f>A11</f>
        <v>0</v>
      </c>
      <c r="H86" s="180">
        <f>C12</f>
        <v>349.6</v>
      </c>
    </row>
    <row r="87" spans="1:9">
      <c r="G87" s="180" t="str">
        <f>A12</f>
        <v>Стоимость печати</v>
      </c>
      <c r="H87" s="180">
        <f>B12</f>
        <v>349.6</v>
      </c>
    </row>
    <row r="88" spans="1:9">
      <c r="A88" s="180" t="str">
        <f>IF(H88&gt;0,CONCATENATE(G88," - ",I88," шт."," с шагом "," - ",H81," см."),"")</f>
        <v/>
      </c>
      <c r="G88" s="180" t="str">
        <f>G11</f>
        <v>Установка люверсов</v>
      </c>
      <c r="H88" s="180">
        <f>H11</f>
        <v>0</v>
      </c>
      <c r="I88" s="180">
        <f>I11</f>
        <v>8</v>
      </c>
    </row>
    <row r="89" spans="1:9">
      <c r="A89" s="180" t="str">
        <f>IF(H89&gt;0,G89,"")</f>
        <v/>
      </c>
      <c r="G89" s="180" t="str">
        <f t="shared" ref="G89:H104" si="10">G12</f>
        <v>Проклейка (сварка) края баннера под карман</v>
      </c>
      <c r="H89" s="180">
        <f t="shared" si="10"/>
        <v>0</v>
      </c>
    </row>
    <row r="90" spans="1:9">
      <c r="G90" s="180">
        <f t="shared" si="10"/>
        <v>0</v>
      </c>
      <c r="H90" s="180">
        <f t="shared" si="10"/>
        <v>0</v>
      </c>
    </row>
    <row r="91" spans="1:9">
      <c r="A91" s="180" t="str">
        <f t="shared" ref="A91:A108" si="11">IF(H91&gt;0,G91,"")</f>
        <v>Точный порез в край полотна</v>
      </c>
      <c r="G91" s="180" t="str">
        <f t="shared" si="10"/>
        <v>Точный порез в край полотна</v>
      </c>
      <c r="H91" s="180">
        <f t="shared" si="10"/>
        <v>130</v>
      </c>
    </row>
    <row r="92" spans="1:9">
      <c r="A92" s="180" t="str">
        <f t="shared" si="11"/>
        <v/>
      </c>
      <c r="G92" s="180" t="str">
        <f t="shared" si="10"/>
        <v>Сварка двух кусков баннера</v>
      </c>
      <c r="H92" s="180">
        <f t="shared" si="10"/>
        <v>0</v>
      </c>
    </row>
    <row r="93" spans="1:9">
      <c r="A93" s="180" t="str">
        <f t="shared" si="11"/>
        <v/>
      </c>
      <c r="G93" s="180">
        <f t="shared" si="10"/>
        <v>0</v>
      </c>
      <c r="H93" s="180">
        <f t="shared" si="10"/>
        <v>0</v>
      </c>
    </row>
    <row r="94" spans="1:9">
      <c r="A94" s="180" t="str">
        <f t="shared" si="11"/>
        <v/>
      </c>
      <c r="G94" s="180" t="str">
        <f t="shared" si="10"/>
        <v>Ламинация                                       м2</v>
      </c>
      <c r="H94" s="180">
        <f t="shared" si="10"/>
        <v>0</v>
      </c>
    </row>
    <row r="95" spans="1:9">
      <c r="G95" s="180" t="str">
        <f t="shared" si="10"/>
        <v>Сумма доп. Работ</v>
      </c>
      <c r="H95" s="180">
        <f t="shared" si="10"/>
        <v>130</v>
      </c>
    </row>
    <row r="96" spans="1:9">
      <c r="A96" s="180" t="str">
        <f t="shared" si="11"/>
        <v/>
      </c>
      <c r="G96" s="180" t="str">
        <f t="shared" si="10"/>
        <v>Сумма фарнитуры</v>
      </c>
      <c r="H96" s="180">
        <f t="shared" si="10"/>
        <v>0</v>
      </c>
    </row>
    <row r="97" spans="1:8">
      <c r="A97" s="180" t="str">
        <f t="shared" si="11"/>
        <v/>
      </c>
      <c r="G97" s="180">
        <f t="shared" si="10"/>
        <v>0</v>
      </c>
      <c r="H97" s="180">
        <f t="shared" si="10"/>
        <v>0</v>
      </c>
    </row>
    <row r="98" spans="1:8">
      <c r="A98" s="180" t="str">
        <f t="shared" si="11"/>
        <v/>
      </c>
      <c r="G98" s="180">
        <f t="shared" si="10"/>
        <v>0</v>
      </c>
      <c r="H98" s="180">
        <f t="shared" si="10"/>
        <v>0</v>
      </c>
    </row>
    <row r="99" spans="1:8">
      <c r="A99" s="180" t="str">
        <f t="shared" si="11"/>
        <v/>
      </c>
      <c r="G99" s="180">
        <f t="shared" si="10"/>
        <v>0</v>
      </c>
      <c r="H99" s="180">
        <f t="shared" si="10"/>
        <v>0</v>
      </c>
    </row>
    <row r="100" spans="1:8">
      <c r="A100" s="180" t="str">
        <f t="shared" si="11"/>
        <v/>
      </c>
      <c r="G100" s="180" t="str">
        <f t="shared" si="10"/>
        <v>Доп. услуги</v>
      </c>
      <c r="H100" s="180">
        <f t="shared" si="10"/>
        <v>0</v>
      </c>
    </row>
    <row r="101" spans="1:8">
      <c r="A101" s="180" t="str">
        <f t="shared" si="11"/>
        <v/>
      </c>
      <c r="G101" s="180" t="str">
        <f t="shared" si="10"/>
        <v>Пвх-лист белый 1 мм</v>
      </c>
      <c r="H101" s="180">
        <f t="shared" si="10"/>
        <v>0</v>
      </c>
    </row>
    <row r="102" spans="1:8">
      <c r="A102" s="180" t="str">
        <f t="shared" si="11"/>
        <v/>
      </c>
      <c r="G102" s="180" t="str">
        <f t="shared" si="10"/>
        <v>Пвх-лист белый 3 мм</v>
      </c>
      <c r="H102" s="180">
        <f t="shared" si="10"/>
        <v>0</v>
      </c>
    </row>
    <row r="103" spans="1:8">
      <c r="A103" s="180" t="str">
        <f t="shared" si="11"/>
        <v/>
      </c>
      <c r="G103" s="180" t="str">
        <f t="shared" si="10"/>
        <v>Пвх-лист черный 3 мм</v>
      </c>
      <c r="H103" s="180">
        <f t="shared" si="10"/>
        <v>0</v>
      </c>
    </row>
    <row r="104" spans="1:8">
      <c r="A104" s="180" t="str">
        <f t="shared" si="11"/>
        <v/>
      </c>
      <c r="G104" s="180" t="str">
        <f t="shared" si="10"/>
        <v>Пвх-лист белый 5 мм</v>
      </c>
      <c r="H104" s="180">
        <f t="shared" si="10"/>
        <v>0</v>
      </c>
    </row>
    <row r="105" spans="1:8">
      <c r="A105" s="180" t="str">
        <f t="shared" si="11"/>
        <v/>
      </c>
      <c r="G105" s="180" t="str">
        <f t="shared" ref="G105:H108" si="12">G29</f>
        <v>Веревка пог/м</v>
      </c>
      <c r="H105" s="180">
        <f t="shared" si="12"/>
        <v>0</v>
      </c>
    </row>
    <row r="106" spans="1:8">
      <c r="A106" s="180" t="str">
        <f t="shared" si="11"/>
        <v/>
      </c>
      <c r="G106" s="180" t="str">
        <f t="shared" si="12"/>
        <v>Накатка</v>
      </c>
      <c r="H106" s="180">
        <f t="shared" si="12"/>
        <v>0</v>
      </c>
    </row>
    <row r="107" spans="1:8">
      <c r="A107" s="180" t="str">
        <f t="shared" si="11"/>
        <v/>
      </c>
      <c r="G107" s="180" t="str">
        <f t="shared" si="12"/>
        <v>Шлифовка края</v>
      </c>
      <c r="H107" s="180">
        <f t="shared" si="12"/>
        <v>0</v>
      </c>
    </row>
    <row r="108" spans="1:8">
      <c r="A108" s="180" t="str">
        <f t="shared" si="11"/>
        <v/>
      </c>
      <c r="G108" s="180" t="str">
        <f t="shared" si="12"/>
        <v>Загиб плёнки для накатки</v>
      </c>
      <c r="H108" s="180">
        <f t="shared" si="12"/>
        <v>0</v>
      </c>
    </row>
    <row r="109" spans="1:8">
      <c r="A109" s="180" t="str">
        <f>CONCATENATE("Ваш заказ: ",A76,", ",A77,", ",A78,", ",A79,", ",A80,", ",A88,", ",A89,", ",A91,", ",A92,", ",A93,", ",A94,", ",A101,", ",A102,", ",A103,", ",A104,", ",A105,", ",A106,", ",A107,", ",A108," Всего услуг на сумму: ",D13," руб.")</f>
        <v>Ваш заказ: Постерная бумага 150г/м2, Качество печати: 720 dpi, Тираж 1 шт., Длина - 1,2 м., Ширина - 0,6 м., , , Точный порез в край полотна, , , , , , , , , , ,  Всего услуг на сумму: 480 руб.</v>
      </c>
    </row>
  </sheetData>
  <mergeCells count="8">
    <mergeCell ref="F2:J7"/>
    <mergeCell ref="A53:M54"/>
    <mergeCell ref="B23:C23"/>
    <mergeCell ref="B24:C24"/>
    <mergeCell ref="B36:C36"/>
    <mergeCell ref="D36:F36"/>
    <mergeCell ref="H36:I36"/>
    <mergeCell ref="C48:D50"/>
  </mergeCells>
  <dataValidations count="4">
    <dataValidation type="list" allowBlank="1" showInputMessage="1" showErrorMessage="1" sqref="A1">
      <formula1>$A$38:$A$47</formula1>
    </dataValidation>
    <dataValidation type="list" allowBlank="1" showInputMessage="1" showErrorMessage="1" sqref="B2">
      <formula1>$K$12:$K$15</formula1>
    </dataValidation>
    <dataValidation type="list" allowBlank="1" showInputMessage="1" showErrorMessage="1" sqref="F11:F12 F14:F17 F24:F30">
      <formula1>$S$10:$S$12</formula1>
    </dataValidation>
    <dataValidation type="list" allowBlank="1" showInputMessage="1" showErrorMessage="1" sqref="J21">
      <formula1>$J$77:$J$78</formula1>
    </dataValidation>
  </dataValidations>
  <hyperlinks>
    <hyperlink ref="D1" location="Новинки!A1" display="обратно в меню"/>
    <hyperlink ref="B1" r:id="rId1"/>
  </hyperlinks>
  <pageMargins left="0.7" right="0.7" top="0.75" bottom="0.75" header="0.3" footer="0.3"/>
  <pageSetup paperSize="9" orientation="portrait" r:id="rId2"/>
  <legacyDrawing r:id="rId3"/>
</worksheet>
</file>

<file path=xl/worksheets/sheet12.xml><?xml version="1.0" encoding="utf-8"?>
<worksheet xmlns="http://schemas.openxmlformats.org/spreadsheetml/2006/main" xmlns:r="http://schemas.openxmlformats.org/officeDocument/2006/relationships">
  <dimension ref="A1:K74"/>
  <sheetViews>
    <sheetView topLeftCell="A16" workbookViewId="0">
      <selection activeCell="J30" sqref="J30"/>
    </sheetView>
  </sheetViews>
  <sheetFormatPr defaultColWidth="9.140625" defaultRowHeight="23.25" customHeight="1"/>
  <cols>
    <col min="1" max="1" width="66.140625" style="33" customWidth="1"/>
    <col min="2" max="2" width="11.5703125" style="33" bestFit="1" customWidth="1"/>
    <col min="3" max="16384" width="9.140625" style="33"/>
  </cols>
  <sheetData>
    <row r="1" spans="1:11" ht="23.25" customHeight="1" thickBot="1">
      <c r="A1" s="32" t="s">
        <v>412</v>
      </c>
      <c r="B1" s="370" t="s">
        <v>528</v>
      </c>
      <c r="C1" s="371"/>
      <c r="E1" s="370" t="s">
        <v>413</v>
      </c>
      <c r="F1" s="371"/>
      <c r="J1" s="33" t="s">
        <v>639</v>
      </c>
      <c r="K1" s="33">
        <f>SUM(K2:K3)</f>
        <v>219</v>
      </c>
    </row>
    <row r="2" spans="1:11" ht="23.25" customHeight="1" thickBot="1">
      <c r="A2" s="34" t="s">
        <v>414</v>
      </c>
      <c r="B2" s="35" t="s">
        <v>415</v>
      </c>
      <c r="C2" s="35" t="s">
        <v>416</v>
      </c>
      <c r="E2" s="35" t="s">
        <v>415</v>
      </c>
      <c r="F2" s="35" t="s">
        <v>416</v>
      </c>
      <c r="J2" s="33" t="s">
        <v>640</v>
      </c>
      <c r="K2" s="130">
        <f>Новинки!P5</f>
        <v>104</v>
      </c>
    </row>
    <row r="3" spans="1:11" ht="23.25" customHeight="1" thickBot="1">
      <c r="A3" s="36" t="s">
        <v>417</v>
      </c>
      <c r="B3" s="35">
        <f>CEILING(E3/$K$5*$K$1*Настройки!$O$5,5)</f>
        <v>285</v>
      </c>
      <c r="C3" s="35">
        <f>CEILING(F3/$K$5*$K$1*Настройки!$O$5,5)</f>
        <v>340</v>
      </c>
      <c r="E3" s="131">
        <v>161.20500000000001</v>
      </c>
      <c r="F3" s="132">
        <v>191.20500000000001</v>
      </c>
      <c r="J3" s="33" t="s">
        <v>630</v>
      </c>
      <c r="K3" s="130">
        <f>Новинки!P6</f>
        <v>115</v>
      </c>
    </row>
    <row r="4" spans="1:11" ht="23.25" customHeight="1" thickBot="1">
      <c r="A4" s="36" t="s">
        <v>418</v>
      </c>
      <c r="B4" s="35">
        <f>CEILING(E4/$K$5*$K$1*Настройки!$O$5,5)</f>
        <v>180</v>
      </c>
      <c r="C4" s="35">
        <f>CEILING(F4/$K$5*$K$1*Настройки!$O$5,5)</f>
        <v>180</v>
      </c>
      <c r="E4" s="133">
        <v>100</v>
      </c>
      <c r="F4" s="133">
        <v>100</v>
      </c>
    </row>
    <row r="5" spans="1:11" ht="23.25" customHeight="1" thickBot="1">
      <c r="A5" s="36" t="s">
        <v>419</v>
      </c>
      <c r="B5" s="35">
        <f>CEILING(E5/$K$5*$K$1*Настройки!$O$5,5)</f>
        <v>380</v>
      </c>
      <c r="C5" s="35">
        <f>CEILING(F5/$K$5*$K$1*Настройки!$O$5,5)</f>
        <v>430</v>
      </c>
      <c r="E5" s="131">
        <v>213.95704000000003</v>
      </c>
      <c r="F5" s="132">
        <v>243.95704000000003</v>
      </c>
      <c r="J5" s="33" t="s">
        <v>641</v>
      </c>
      <c r="K5" s="33">
        <f>SUM(K6:K7)</f>
        <v>124.6057</v>
      </c>
    </row>
    <row r="6" spans="1:11" ht="23.25" customHeight="1" thickBot="1">
      <c r="A6" s="36" t="s">
        <v>420</v>
      </c>
      <c r="B6" s="35">
        <f>CEILING(E6/$K$5*$K$1*Настройки!$O$5,5)</f>
        <v>145</v>
      </c>
      <c r="C6" s="35">
        <f>CEILING(F6/$K$5*$K$1*Настройки!$O$5,5)</f>
        <v>200</v>
      </c>
      <c r="E6" s="134">
        <v>81.453806279640247</v>
      </c>
      <c r="F6" s="135">
        <v>111.45380627964025</v>
      </c>
      <c r="J6" s="33" t="s">
        <v>640</v>
      </c>
      <c r="K6" s="129">
        <v>56.2376</v>
      </c>
    </row>
    <row r="7" spans="1:11" ht="23.25" customHeight="1" thickBot="1">
      <c r="A7" s="36" t="s">
        <v>421</v>
      </c>
      <c r="B7" s="35">
        <f>CEILING(E7/$K$5*$K$1*Настройки!$O$5,5)</f>
        <v>220</v>
      </c>
      <c r="C7" s="35">
        <f>CEILING(F7/$K$5*$K$1*Настройки!$O$5,5)</f>
        <v>275</v>
      </c>
      <c r="E7" s="136">
        <v>124.39934627964024</v>
      </c>
      <c r="F7" s="132">
        <v>154.39934627964024</v>
      </c>
      <c r="J7" s="33" t="s">
        <v>630</v>
      </c>
      <c r="K7" s="129">
        <v>68.368099999999998</v>
      </c>
    </row>
    <row r="8" spans="1:11" ht="23.25" customHeight="1" thickBot="1">
      <c r="A8" s="36" t="s">
        <v>422</v>
      </c>
      <c r="B8" s="35">
        <f>CEILING(E8/$K$5*$K$1*Настройки!$O$5,5)</f>
        <v>180</v>
      </c>
      <c r="C8" s="35">
        <f>CEILING(F8/$K$5*$K$1*Настройки!$O$5,5)</f>
        <v>180</v>
      </c>
      <c r="E8" s="133">
        <v>100</v>
      </c>
      <c r="F8" s="133">
        <v>100</v>
      </c>
    </row>
    <row r="9" spans="1:11" ht="23.25" customHeight="1" thickBot="1">
      <c r="A9" s="36" t="s">
        <v>423</v>
      </c>
      <c r="B9" s="35">
        <f>CEILING(E9/$K$5*$K$1*Настройки!$O$5,5)</f>
        <v>370</v>
      </c>
      <c r="C9" s="35">
        <f>CEILING(F9/$K$5*$K$1*Настройки!$O$5,5)</f>
        <v>425</v>
      </c>
      <c r="E9" s="134">
        <v>209.15796</v>
      </c>
      <c r="F9" s="135">
        <v>239.15796</v>
      </c>
    </row>
    <row r="10" spans="1:11" ht="23.25" customHeight="1" thickBot="1">
      <c r="A10" s="36" t="s">
        <v>424</v>
      </c>
      <c r="B10" s="35">
        <f>CEILING(E10/$K$5*$K$1*Настройки!$O$5,5)</f>
        <v>350</v>
      </c>
      <c r="C10" s="35">
        <f>CEILING(F10/$K$5*$K$1*Настройки!$O$5,5)</f>
        <v>400</v>
      </c>
      <c r="E10" s="136">
        <v>196.57529627964024</v>
      </c>
      <c r="F10" s="132">
        <v>226.57529627964024</v>
      </c>
    </row>
    <row r="11" spans="1:11" ht="23.25" customHeight="1" thickBot="1">
      <c r="A11" s="36" t="s">
        <v>425</v>
      </c>
      <c r="B11" s="35">
        <f>CEILING(E11/$K$5*$K$1*Настройки!$O$5,5)</f>
        <v>180</v>
      </c>
      <c r="C11" s="35">
        <f>CEILING(F11/$K$5*$K$1*Настройки!$O$5,5)</f>
        <v>180</v>
      </c>
      <c r="E11" s="133">
        <v>100</v>
      </c>
      <c r="F11" s="133">
        <v>100</v>
      </c>
    </row>
    <row r="12" spans="1:11" ht="23.25" customHeight="1" thickBot="1">
      <c r="A12" s="36" t="s">
        <v>426</v>
      </c>
      <c r="B12" s="35">
        <f>CEILING(E12/$K$5*$K$1*Настройки!$O$5,5)</f>
        <v>740</v>
      </c>
      <c r="C12" s="35">
        <f>CEILING(F12/$K$5*$K$1*Настройки!$O$5,5)</f>
        <v>740</v>
      </c>
      <c r="E12" s="133">
        <v>420</v>
      </c>
      <c r="F12" s="133">
        <v>420</v>
      </c>
    </row>
    <row r="13" spans="1:11" ht="23.25" customHeight="1" thickBot="1">
      <c r="A13" s="36" t="s">
        <v>427</v>
      </c>
      <c r="B13" s="35">
        <f>CEILING(E13/$K$5*$K$1*Настройки!$O$5,5)</f>
        <v>540</v>
      </c>
      <c r="C13" s="35">
        <f>CEILING(F13/$K$5*$K$1*Настройки!$O$5,5)</f>
        <v>590</v>
      </c>
      <c r="E13" s="134">
        <v>304.95652000000001</v>
      </c>
      <c r="F13" s="135">
        <v>334.95652000000001</v>
      </c>
    </row>
    <row r="14" spans="1:11" ht="23.25" customHeight="1" thickBot="1">
      <c r="A14" s="36" t="s">
        <v>428</v>
      </c>
      <c r="B14" s="35">
        <f>CEILING(E14/$K$5*$K$1*Настройки!$O$5,5)</f>
        <v>180</v>
      </c>
      <c r="C14" s="35">
        <f>CEILING(F14/$K$5*$K$1*Настройки!$O$5,5)</f>
        <v>180</v>
      </c>
      <c r="E14" s="133">
        <v>100</v>
      </c>
      <c r="F14" s="133">
        <v>100</v>
      </c>
    </row>
    <row r="15" spans="1:11" ht="23.25" customHeight="1" thickBot="1">
      <c r="A15" s="36" t="s">
        <v>429</v>
      </c>
      <c r="B15" s="35">
        <f>CEILING(E15/$K$5*$K$1*Настройки!$O$5,5)</f>
        <v>180</v>
      </c>
      <c r="C15" s="35">
        <f>CEILING(F15/$K$5*$K$1*Настройки!$O$5,5)</f>
        <v>180</v>
      </c>
      <c r="E15" s="133">
        <v>100</v>
      </c>
      <c r="F15" s="133">
        <v>100</v>
      </c>
    </row>
    <row r="16" spans="1:11" ht="23.25" customHeight="1" thickBot="1">
      <c r="A16" s="36" t="s">
        <v>430</v>
      </c>
      <c r="B16" s="35" t="s">
        <v>431</v>
      </c>
      <c r="C16" s="35" t="s">
        <v>432</v>
      </c>
      <c r="E16" s="35" t="s">
        <v>431</v>
      </c>
      <c r="F16" s="35" t="s">
        <v>432</v>
      </c>
    </row>
    <row r="17" spans="1:6" ht="23.25" customHeight="1" thickBot="1">
      <c r="A17" s="36" t="s">
        <v>411</v>
      </c>
      <c r="B17" s="35">
        <f>CEILING(E17/$K$5*$K$1*Настройки!$O$5,5)</f>
        <v>180</v>
      </c>
      <c r="C17" s="35">
        <f>CEILING(F17/$K$5*$K$1*Настройки!$O$5,5)</f>
        <v>180</v>
      </c>
      <c r="E17" s="133">
        <v>100</v>
      </c>
      <c r="F17" s="133">
        <v>100</v>
      </c>
    </row>
    <row r="18" spans="1:6" ht="23.25" customHeight="1" thickBot="1">
      <c r="A18" s="36" t="s">
        <v>424</v>
      </c>
      <c r="B18" s="35">
        <f>CEILING(E18/$K$5*$K$1*Настройки!$O$5,5)</f>
        <v>500</v>
      </c>
      <c r="C18" s="35">
        <f>CEILING(F18/$K$5*$K$1*Настройки!$O$5,5)</f>
        <v>655</v>
      </c>
      <c r="E18" s="137">
        <v>283.95704000000001</v>
      </c>
      <c r="F18" s="138">
        <v>370.70807200000002</v>
      </c>
    </row>
    <row r="19" spans="1:6" ht="23.25" customHeight="1" thickBot="1">
      <c r="A19" s="36" t="s">
        <v>433</v>
      </c>
      <c r="B19" s="35">
        <f>CEILING(E19/$K$5*$K$1*Настройки!$O$5,5)</f>
        <v>1005</v>
      </c>
      <c r="C19" s="35">
        <f>CEILING(F19/$K$5*$K$1*Настройки!$O$5,5)</f>
        <v>1130</v>
      </c>
      <c r="E19" s="139">
        <v>570.91573000000005</v>
      </c>
      <c r="F19" s="140">
        <v>640.91573000000005</v>
      </c>
    </row>
    <row r="20" spans="1:6" ht="23.25" customHeight="1" thickBot="1">
      <c r="A20" s="36" t="s">
        <v>426</v>
      </c>
      <c r="B20" s="35">
        <f>CEILING(E20/$K$5*$K$1*Настройки!$O$5,5)</f>
        <v>740</v>
      </c>
      <c r="C20" s="35">
        <f>CEILING(F20/$K$5*$K$1*Настройки!$O$5,5)</f>
        <v>865</v>
      </c>
      <c r="E20" s="141">
        <v>420</v>
      </c>
      <c r="F20" s="138">
        <v>490</v>
      </c>
    </row>
    <row r="21" spans="1:6" ht="23.25" customHeight="1" thickBot="1">
      <c r="A21" s="36" t="s">
        <v>434</v>
      </c>
      <c r="B21" s="35">
        <f>CEILING(E21/$K$5*$K$1*Настройки!$O$5,5)</f>
        <v>560</v>
      </c>
      <c r="C21" s="35">
        <f>CEILING(F21/$K$5*$K$1*Настройки!$O$5,5)</f>
        <v>685</v>
      </c>
      <c r="E21" s="141">
        <v>317.06022084000006</v>
      </c>
      <c r="F21" s="138">
        <v>387.06022084000006</v>
      </c>
    </row>
    <row r="22" spans="1:6" ht="23.25" customHeight="1" thickBot="1">
      <c r="A22" s="36" t="s">
        <v>435</v>
      </c>
      <c r="B22" s="35">
        <f>CEILING(E22/$K$5*$K$1*Настройки!$O$5,5)</f>
        <v>670</v>
      </c>
      <c r="C22" s="35">
        <f>CEILING(F22/$K$5*$K$1*Настройки!$O$5,5)</f>
        <v>795</v>
      </c>
      <c r="E22" s="139">
        <v>380.81226084000002</v>
      </c>
      <c r="F22" s="140">
        <v>450.81226084000002</v>
      </c>
    </row>
    <row r="23" spans="1:6" ht="23.25" customHeight="1" thickBot="1">
      <c r="A23" s="36" t="s">
        <v>436</v>
      </c>
      <c r="B23" s="35">
        <f>CEILING(E23/$K$5*$K$1*Настройки!$O$5,5)</f>
        <v>425</v>
      </c>
      <c r="C23" s="35">
        <f>CEILING(F23/$K$5*$K$1*Настройки!$O$5,5)</f>
        <v>545</v>
      </c>
      <c r="E23" s="141">
        <v>239.60079000000005</v>
      </c>
      <c r="F23" s="138">
        <v>309.60079000000007</v>
      </c>
    </row>
    <row r="24" spans="1:6" ht="23.25" customHeight="1" thickBot="1">
      <c r="A24" s="36" t="s">
        <v>437</v>
      </c>
      <c r="B24" s="35">
        <f>CEILING(E24/$K$5*$K$1*Настройки!$O$5,5)</f>
        <v>800</v>
      </c>
      <c r="C24" s="35">
        <f>CEILING(F24/$K$5*$K$1*Настройки!$O$5,5)</f>
        <v>920</v>
      </c>
      <c r="E24" s="139">
        <v>452.86989000000005</v>
      </c>
      <c r="F24" s="140">
        <v>522.86989000000005</v>
      </c>
    </row>
    <row r="25" spans="1:6" ht="23.25" customHeight="1" thickBot="1">
      <c r="A25" s="36" t="s">
        <v>876</v>
      </c>
      <c r="B25" s="35">
        <f>CEILING(E25/$K$5*$K$1*Настройки!$O$5,5)</f>
        <v>1055</v>
      </c>
      <c r="C25" s="35">
        <f>CEILING(F25/$K$5*$K$1*Настройки!$O$5,5)</f>
        <v>1055</v>
      </c>
      <c r="E25" s="139">
        <v>600</v>
      </c>
      <c r="F25" s="140">
        <v>600</v>
      </c>
    </row>
    <row r="26" spans="1:6" ht="23.25" customHeight="1" thickBot="1">
      <c r="A26" s="36" t="s">
        <v>427</v>
      </c>
      <c r="B26" s="35">
        <f>CEILING(E26/$K$5*$K$1*Настройки!$O$5,5)</f>
        <v>910</v>
      </c>
      <c r="C26" s="35">
        <f>CEILING(F26/$K$5*$K$1*Настройки!$O$5,5)</f>
        <v>1030</v>
      </c>
      <c r="E26" s="141">
        <v>515.81174084000008</v>
      </c>
      <c r="F26" s="138">
        <v>585.81174084000008</v>
      </c>
    </row>
    <row r="27" spans="1:6" ht="23.25" customHeight="1" thickBot="1">
      <c r="A27" s="36" t="s">
        <v>438</v>
      </c>
      <c r="B27" s="35"/>
      <c r="C27" s="35"/>
      <c r="E27" s="35"/>
      <c r="F27" s="35"/>
    </row>
    <row r="28" spans="1:6" ht="23.25" customHeight="1" thickBot="1">
      <c r="A28" s="36" t="s">
        <v>439</v>
      </c>
      <c r="B28" s="35">
        <f>E28/$K$5*$K$1</f>
        <v>175.75439967834538</v>
      </c>
      <c r="C28" s="35">
        <f>F28/$K$5*$K$1</f>
        <v>175.75439967834538</v>
      </c>
      <c r="E28" s="133">
        <v>100</v>
      </c>
      <c r="F28" s="133">
        <v>100</v>
      </c>
    </row>
    <row r="29" spans="1:6" ht="23.25" customHeight="1" thickBot="1">
      <c r="A29" s="36" t="s">
        <v>440</v>
      </c>
      <c r="B29" s="35">
        <f>E29/$K$5*$K$1</f>
        <v>175.75439967834538</v>
      </c>
      <c r="C29" s="35">
        <f>F29/$K$5*$K$1</f>
        <v>175.75439967834538</v>
      </c>
      <c r="E29" s="133">
        <v>100</v>
      </c>
      <c r="F29" s="133">
        <v>100</v>
      </c>
    </row>
    <row r="30" spans="1:6" ht="23.25" customHeight="1" thickBot="1">
      <c r="E30" s="35"/>
    </row>
    <row r="31" spans="1:6" ht="23.25" customHeight="1" thickBot="1">
      <c r="A31" s="32" t="s">
        <v>441</v>
      </c>
      <c r="B31" s="127"/>
      <c r="C31" s="127"/>
      <c r="E31" s="35"/>
      <c r="F31" s="127"/>
    </row>
    <row r="32" spans="1:6" ht="23.25" customHeight="1" thickBot="1">
      <c r="A32" s="36" t="s">
        <v>442</v>
      </c>
      <c r="B32" s="35">
        <f>E32/$K$5*$K$1*Настройки!$O$5</f>
        <v>26.363159951751808</v>
      </c>
      <c r="C32" s="35"/>
      <c r="E32" s="142">
        <v>15</v>
      </c>
      <c r="F32" s="35"/>
    </row>
    <row r="33" spans="1:6" ht="23.25" customHeight="1" thickBot="1">
      <c r="A33" s="36" t="s">
        <v>443</v>
      </c>
      <c r="B33" s="35">
        <f>E33/$K$5*$K$1*Настройки!$O$5</f>
        <v>52.726319903503615</v>
      </c>
      <c r="C33" s="35"/>
      <c r="E33" s="142">
        <v>30</v>
      </c>
      <c r="F33" s="35"/>
    </row>
    <row r="34" spans="1:6" ht="23.25" customHeight="1" thickBot="1">
      <c r="A34" s="36" t="s">
        <v>538</v>
      </c>
      <c r="B34" s="35">
        <f>E34/$K$5*$K$1*Настройки!$O$5</f>
        <v>70.301759871338149</v>
      </c>
      <c r="C34" s="35"/>
      <c r="E34" s="143">
        <v>40</v>
      </c>
      <c r="F34" s="35"/>
    </row>
    <row r="35" spans="1:6" ht="23.25" customHeight="1" thickBot="1">
      <c r="A35" s="36" t="s">
        <v>515</v>
      </c>
      <c r="B35" s="35">
        <v>35</v>
      </c>
      <c r="C35" s="35"/>
      <c r="E35" s="142"/>
      <c r="F35" s="35"/>
    </row>
    <row r="36" spans="1:6" ht="23.25" customHeight="1" thickBot="1">
      <c r="A36" s="36" t="s">
        <v>537</v>
      </c>
      <c r="B36" s="35">
        <f>E36/$K$5*$K$1*Настройки!$O$5</f>
        <v>175.75439967834538</v>
      </c>
      <c r="C36" s="35"/>
      <c r="E36" s="133">
        <v>100</v>
      </c>
      <c r="F36" s="35"/>
    </row>
    <row r="37" spans="1:6" ht="23.25" customHeight="1" thickBot="1">
      <c r="A37" s="36" t="s">
        <v>444</v>
      </c>
      <c r="B37" s="35">
        <f>E37/$K$5*$K$1*Настройки!$O$5</f>
        <v>527.26319903503611</v>
      </c>
      <c r="C37" s="35"/>
      <c r="E37" s="144">
        <v>300</v>
      </c>
      <c r="F37" s="35"/>
    </row>
    <row r="38" spans="1:6" ht="23.25" customHeight="1" thickBot="1">
      <c r="A38" s="36" t="s">
        <v>445</v>
      </c>
      <c r="B38" s="35">
        <f>E38/$K$5*$K$1*Настройки!$O$5</f>
        <v>351.50879935669076</v>
      </c>
      <c r="C38" s="35"/>
      <c r="E38" s="145">
        <v>200</v>
      </c>
      <c r="F38" s="35"/>
    </row>
    <row r="39" spans="1:6" ht="23.25" customHeight="1" thickBot="1">
      <c r="A39" s="33" t="s">
        <v>446</v>
      </c>
      <c r="B39" s="35">
        <f>E39/$K$5*$K$1</f>
        <v>228.48071958184897</v>
      </c>
      <c r="E39" s="133">
        <v>130</v>
      </c>
    </row>
    <row r="40" spans="1:6" ht="23.25" customHeight="1" thickBot="1">
      <c r="A40" s="33" t="s">
        <v>447</v>
      </c>
      <c r="B40" s="35">
        <f>E40/$K$5*$K$1</f>
        <v>228.48071958184897</v>
      </c>
      <c r="E40" s="133">
        <v>130</v>
      </c>
    </row>
    <row r="41" spans="1:6" ht="23.25" customHeight="1" thickBot="1">
      <c r="A41" s="33" t="s">
        <v>448</v>
      </c>
      <c r="B41" s="35">
        <f>E41/$K$5*$K$1</f>
        <v>228.48071958184897</v>
      </c>
      <c r="E41" s="133">
        <v>130</v>
      </c>
    </row>
    <row r="42" spans="1:6" ht="23.25" customHeight="1">
      <c r="B42" s="261"/>
      <c r="E42" s="262"/>
    </row>
    <row r="44" spans="1:6" ht="23.25" customHeight="1">
      <c r="A44" s="37" t="s">
        <v>449</v>
      </c>
    </row>
    <row r="45" spans="1:6" ht="23.25" customHeight="1">
      <c r="A45" s="33" t="s">
        <v>450</v>
      </c>
      <c r="B45" s="33" t="s">
        <v>451</v>
      </c>
      <c r="E45" s="33" t="s">
        <v>451</v>
      </c>
    </row>
    <row r="46" spans="1:6" ht="23.25" customHeight="1">
      <c r="A46" s="33" t="s">
        <v>452</v>
      </c>
      <c r="B46" s="33" t="s">
        <v>453</v>
      </c>
      <c r="E46" s="33" t="s">
        <v>453</v>
      </c>
    </row>
    <row r="47" spans="1:6" ht="23.25" customHeight="1">
      <c r="A47" s="33" t="s">
        <v>454</v>
      </c>
      <c r="B47" s="33" t="s">
        <v>455</v>
      </c>
      <c r="E47" s="33" t="s">
        <v>455</v>
      </c>
    </row>
    <row r="48" spans="1:6" ht="23.25" customHeight="1">
      <c r="A48" s="80" t="s">
        <v>548</v>
      </c>
      <c r="B48" s="33">
        <f>Широкоформат!B8</f>
        <v>0.72</v>
      </c>
      <c r="C48" s="33">
        <v>0.3</v>
      </c>
      <c r="D48" s="33">
        <v>0.5</v>
      </c>
      <c r="E48" s="33">
        <v>1</v>
      </c>
    </row>
    <row r="49" spans="1:5" ht="23.25" customHeight="1">
      <c r="A49" s="33" t="s">
        <v>547</v>
      </c>
      <c r="B49" s="33">
        <f>IF(B48&gt;=E48,E49,IF(B48&gt;=D48,D49,C49))</f>
        <v>550</v>
      </c>
      <c r="C49" s="33">
        <v>700</v>
      </c>
      <c r="D49" s="33">
        <v>550</v>
      </c>
      <c r="E49" s="33">
        <v>400</v>
      </c>
    </row>
    <row r="50" spans="1:5" ht="23.25" customHeight="1">
      <c r="A50" s="80" t="s">
        <v>548</v>
      </c>
      <c r="B50" s="33">
        <f>Штендер!B20*Штендер!B1*Штендер!B6</f>
        <v>0.72</v>
      </c>
      <c r="C50" s="33">
        <v>0.3</v>
      </c>
      <c r="D50" s="33">
        <v>1</v>
      </c>
      <c r="E50" s="33">
        <v>2</v>
      </c>
    </row>
    <row r="51" spans="1:5" ht="23.25" customHeight="1">
      <c r="A51" s="33" t="s">
        <v>627</v>
      </c>
      <c r="B51" s="33">
        <f>IF(B50&gt;=E50,E51,IF(B50&gt;=D50,D51,C51))</f>
        <v>900</v>
      </c>
      <c r="C51" s="33">
        <v>900</v>
      </c>
      <c r="D51" s="33">
        <v>800</v>
      </c>
      <c r="E51" s="33">
        <v>500</v>
      </c>
    </row>
    <row r="54" spans="1:5" ht="23.25" customHeight="1">
      <c r="A54" s="321" t="s">
        <v>1287</v>
      </c>
    </row>
    <row r="55" spans="1:5" ht="23.25" customHeight="1" thickBot="1">
      <c r="A55" s="3" t="s">
        <v>1289</v>
      </c>
      <c r="B55" s="35">
        <f>E55*Настройки!$N$26</f>
        <v>100</v>
      </c>
      <c r="E55" s="33">
        <v>50</v>
      </c>
    </row>
    <row r="56" spans="1:5" ht="23.25" customHeight="1" thickBot="1">
      <c r="A56" s="3" t="s">
        <v>542</v>
      </c>
      <c r="B56" s="35">
        <f>E56*Настройки!$N$26</f>
        <v>30</v>
      </c>
      <c r="E56" s="33">
        <v>15</v>
      </c>
    </row>
    <row r="57" spans="1:5" ht="23.25" customHeight="1" thickBot="1">
      <c r="A57" s="3" t="s">
        <v>1286</v>
      </c>
      <c r="B57" s="35">
        <f>E57*Настройки!$N$26</f>
        <v>40</v>
      </c>
      <c r="E57" s="33">
        <v>20</v>
      </c>
    </row>
    <row r="58" spans="1:5" ht="23.25" customHeight="1">
      <c r="A58" s="3"/>
    </row>
    <row r="59" spans="1:5" ht="23.25" customHeight="1">
      <c r="A59" s="3" t="s">
        <v>1284</v>
      </c>
      <c r="B59" s="33">
        <f>E59*Настройки!N26</f>
        <v>500</v>
      </c>
      <c r="E59" s="33">
        <v>250</v>
      </c>
    </row>
    <row r="60" spans="1:5" ht="23.25" customHeight="1">
      <c r="A60" s="3" t="s">
        <v>1285</v>
      </c>
      <c r="B60" s="33">
        <f>E60*Настройки!N26</f>
        <v>200</v>
      </c>
      <c r="E60" s="33">
        <v>100</v>
      </c>
    </row>
    <row r="63" spans="1:5" ht="23.25" customHeight="1">
      <c r="A63" s="33" t="s">
        <v>1291</v>
      </c>
    </row>
    <row r="64" spans="1:5" ht="23.25" customHeight="1">
      <c r="A64" s="33" t="s">
        <v>1284</v>
      </c>
      <c r="B64" s="33">
        <f>E64*Настройки!$N$26</f>
        <v>340</v>
      </c>
      <c r="E64" s="33">
        <v>170</v>
      </c>
    </row>
    <row r="65" spans="1:5" ht="23.25" customHeight="1">
      <c r="A65" s="33" t="s">
        <v>1303</v>
      </c>
      <c r="B65" s="33">
        <f>E65*Настройки!$N$26</f>
        <v>318</v>
      </c>
      <c r="E65" s="33">
        <v>159</v>
      </c>
    </row>
    <row r="66" spans="1:5" ht="23.25" customHeight="1">
      <c r="A66" s="33" t="s">
        <v>1304</v>
      </c>
      <c r="B66" s="33">
        <f>E66*Настройки!$N$26</f>
        <v>500</v>
      </c>
      <c r="E66" s="33">
        <v>250</v>
      </c>
    </row>
    <row r="67" spans="1:5" ht="23.25" customHeight="1">
      <c r="A67" s="33" t="s">
        <v>1305</v>
      </c>
      <c r="B67" s="33">
        <f>E67*Настройки!$N$26</f>
        <v>900</v>
      </c>
      <c r="E67" s="33">
        <v>450</v>
      </c>
    </row>
    <row r="68" spans="1:5" ht="23.25" customHeight="1">
      <c r="A68" s="33" t="s">
        <v>1292</v>
      </c>
      <c r="B68" s="33">
        <f>E68*Настройки!$N$26</f>
        <v>200</v>
      </c>
      <c r="E68" s="33">
        <f>100</f>
        <v>100</v>
      </c>
    </row>
    <row r="69" spans="1:5" ht="23.25" customHeight="1">
      <c r="A69" s="33" t="s">
        <v>1293</v>
      </c>
      <c r="B69" s="33">
        <f>E69*Настройки!$N$26</f>
        <v>184</v>
      </c>
      <c r="E69" s="33">
        <v>92</v>
      </c>
    </row>
    <row r="70" spans="1:5" ht="23.25" customHeight="1">
      <c r="A70" s="33" t="s">
        <v>1294</v>
      </c>
      <c r="B70" s="33">
        <f>E70*Настройки!$N$26</f>
        <v>200</v>
      </c>
      <c r="E70" s="33">
        <f>100</f>
        <v>100</v>
      </c>
    </row>
    <row r="71" spans="1:5" ht="23.25" customHeight="1">
      <c r="A71" s="33" t="s">
        <v>1295</v>
      </c>
      <c r="B71" s="33">
        <f>E71*Настройки!$N$26</f>
        <v>186</v>
      </c>
      <c r="E71" s="33">
        <v>93</v>
      </c>
    </row>
    <row r="72" spans="1:5" ht="23.25" customHeight="1">
      <c r="A72" s="33" t="s">
        <v>1296</v>
      </c>
      <c r="B72" s="33">
        <f>E72*Настройки!$N$26</f>
        <v>200</v>
      </c>
      <c r="E72" s="33">
        <f>100</f>
        <v>100</v>
      </c>
    </row>
    <row r="73" spans="1:5" ht="23.25" customHeight="1">
      <c r="A73" s="33" t="s">
        <v>1297</v>
      </c>
      <c r="B73" s="33">
        <f>E73*Настройки!$N$26</f>
        <v>188</v>
      </c>
      <c r="E73" s="33">
        <v>94</v>
      </c>
    </row>
    <row r="74" spans="1:5" ht="23.25" customHeight="1">
      <c r="A74" s="33" t="s">
        <v>1298</v>
      </c>
      <c r="B74" s="33">
        <f>E74*Настройки!$N$26</f>
        <v>200</v>
      </c>
      <c r="E74" s="33">
        <f>100</f>
        <v>100</v>
      </c>
    </row>
  </sheetData>
  <mergeCells count="2">
    <mergeCell ref="B1:C1"/>
    <mergeCell ref="E1:F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P24"/>
  <sheetViews>
    <sheetView workbookViewId="0">
      <selection activeCell="D9" sqref="D9"/>
    </sheetView>
  </sheetViews>
  <sheetFormatPr defaultRowHeight="15"/>
  <cols>
    <col min="1" max="1" width="45.28515625" customWidth="1"/>
  </cols>
  <sheetData>
    <row r="1" spans="1:16">
      <c r="A1" s="322" t="s">
        <v>1278</v>
      </c>
      <c r="B1" t="s">
        <v>619</v>
      </c>
      <c r="C1" t="s">
        <v>975</v>
      </c>
      <c r="E1" t="s">
        <v>1280</v>
      </c>
      <c r="J1" t="s">
        <v>295</v>
      </c>
    </row>
    <row r="2" spans="1:16" ht="15.75" thickBot="1">
      <c r="A2" s="288" t="s">
        <v>1279</v>
      </c>
      <c r="B2" s="66">
        <v>11</v>
      </c>
      <c r="C2">
        <f>B2</f>
        <v>11</v>
      </c>
      <c r="J2" t="s">
        <v>93</v>
      </c>
      <c r="L2" t="s">
        <v>1291</v>
      </c>
      <c r="M2">
        <f>SUM(M3:M12)</f>
        <v>900</v>
      </c>
      <c r="P2" t="s">
        <v>1300</v>
      </c>
    </row>
    <row r="3" spans="1:16" ht="16.5" thickTop="1" thickBot="1">
      <c r="A3" s="2" t="s">
        <v>1281</v>
      </c>
      <c r="B3" s="66">
        <v>21</v>
      </c>
      <c r="C3" s="197">
        <f>B3</f>
        <v>21</v>
      </c>
      <c r="E3" s="197" t="s">
        <v>568</v>
      </c>
      <c r="F3" s="197">
        <f>B4/(1.305*B2)</f>
        <v>2.0898641588296765</v>
      </c>
      <c r="G3" s="197" t="s">
        <v>379</v>
      </c>
      <c r="H3" s="197">
        <f>F3*(7.968*B2)</f>
        <v>183.17241379310349</v>
      </c>
      <c r="L3" t="str">
        <f>'Стоимость за кв.м.'!A65</f>
        <v>Китай белая глянец/матовый</v>
      </c>
      <c r="M3">
        <f>N3*O3</f>
        <v>0</v>
      </c>
      <c r="N3">
        <f>IF($B$9=L3,1,0)</f>
        <v>0</v>
      </c>
      <c r="O3">
        <f>'Стоимость за кв.м.'!B65</f>
        <v>318</v>
      </c>
    </row>
    <row r="4" spans="1:16" ht="16.5" thickTop="1" thickBot="1">
      <c r="A4" s="2" t="s">
        <v>1282</v>
      </c>
      <c r="B4" s="66">
        <v>30</v>
      </c>
      <c r="C4" s="197">
        <f>B3*(1.305*B2)</f>
        <v>301.45499999999998</v>
      </c>
      <c r="E4" s="197" t="s">
        <v>343</v>
      </c>
      <c r="F4" s="197">
        <f>B3*(1.305*B2)</f>
        <v>301.45499999999998</v>
      </c>
      <c r="G4" s="197" t="s">
        <v>379</v>
      </c>
      <c r="H4" s="197">
        <f>F4*(6.128)</f>
        <v>1847.3162399999999</v>
      </c>
      <c r="L4" t="str">
        <f>'Стоимость за кв.м.'!A66</f>
        <v>Оракал белый глянец/матовый</v>
      </c>
      <c r="M4">
        <f t="shared" ref="M4:M12" si="0">N4*O4</f>
        <v>0</v>
      </c>
      <c r="N4">
        <f t="shared" ref="N4:N12" si="1">IF($B$9=L4,1,0)</f>
        <v>0</v>
      </c>
      <c r="O4">
        <f>'Стоимость за кв.м.'!B66</f>
        <v>500</v>
      </c>
    </row>
    <row r="5" spans="1:16" ht="16.5" thickTop="1" thickBot="1">
      <c r="A5" s="2" t="s">
        <v>1283</v>
      </c>
      <c r="B5" s="66">
        <v>611</v>
      </c>
      <c r="C5" s="197">
        <f>IF(H3&gt;H4,H3,H4)</f>
        <v>1847.3162399999999</v>
      </c>
      <c r="L5" t="str">
        <f>'Стоимость за кв.м.'!A67</f>
        <v>Цветная пленка</v>
      </c>
      <c r="M5">
        <f t="shared" si="0"/>
        <v>900</v>
      </c>
      <c r="N5">
        <f t="shared" si="1"/>
        <v>1</v>
      </c>
      <c r="O5">
        <f>'Стоимость за кв.м.'!B67</f>
        <v>900</v>
      </c>
    </row>
    <row r="6" spans="1:16" ht="16.5" thickTop="1" thickBot="1">
      <c r="A6" s="2" t="s">
        <v>378</v>
      </c>
      <c r="B6" s="42">
        <f>B3*B4/10000</f>
        <v>6.3E-2</v>
      </c>
      <c r="L6" t="str">
        <f>'Стоимость за кв.м.'!A68</f>
        <v>Материал 4</v>
      </c>
      <c r="M6">
        <f t="shared" si="0"/>
        <v>0</v>
      </c>
      <c r="N6">
        <f t="shared" si="1"/>
        <v>0</v>
      </c>
      <c r="O6">
        <f>'Стоимость за кв.м.'!B68</f>
        <v>200</v>
      </c>
    </row>
    <row r="7" spans="1:16" ht="15.75" thickTop="1">
      <c r="A7" s="3" t="s">
        <v>542</v>
      </c>
      <c r="B7" t="s">
        <v>295</v>
      </c>
      <c r="L7" t="str">
        <f>'Стоимость за кв.м.'!A69</f>
        <v>Материал 5</v>
      </c>
      <c r="M7">
        <f t="shared" si="0"/>
        <v>0</v>
      </c>
      <c r="N7">
        <f t="shared" si="1"/>
        <v>0</v>
      </c>
      <c r="O7">
        <f>'Стоимость за кв.м.'!B69</f>
        <v>184</v>
      </c>
    </row>
    <row r="8" spans="1:16">
      <c r="A8" s="3" t="s">
        <v>1286</v>
      </c>
      <c r="B8" t="s">
        <v>295</v>
      </c>
      <c r="L8" t="str">
        <f>'Стоимость за кв.м.'!A70</f>
        <v>Материал 6</v>
      </c>
      <c r="M8">
        <f t="shared" si="0"/>
        <v>0</v>
      </c>
      <c r="N8">
        <f t="shared" si="1"/>
        <v>0</v>
      </c>
      <c r="O8">
        <f>'Стоимость за кв.м.'!B70</f>
        <v>200</v>
      </c>
    </row>
    <row r="9" spans="1:16">
      <c r="A9" s="3" t="s">
        <v>1290</v>
      </c>
      <c r="B9" t="s">
        <v>1305</v>
      </c>
      <c r="L9" t="str">
        <f>'Стоимость за кв.м.'!A71</f>
        <v>Материал 7</v>
      </c>
      <c r="M9">
        <f t="shared" si="0"/>
        <v>0</v>
      </c>
      <c r="N9">
        <f t="shared" si="1"/>
        <v>0</v>
      </c>
      <c r="O9">
        <f>'Стоимость за кв.м.'!B71</f>
        <v>186</v>
      </c>
    </row>
    <row r="10" spans="1:16">
      <c r="A10" s="3" t="s">
        <v>1284</v>
      </c>
      <c r="B10" t="s">
        <v>295</v>
      </c>
      <c r="L10" t="str">
        <f>'Стоимость за кв.м.'!A72</f>
        <v>Материал 8</v>
      </c>
      <c r="M10">
        <f t="shared" si="0"/>
        <v>0</v>
      </c>
      <c r="N10">
        <f t="shared" si="1"/>
        <v>0</v>
      </c>
      <c r="O10">
        <f>'Стоимость за кв.м.'!B72</f>
        <v>200</v>
      </c>
    </row>
    <row r="11" spans="1:16">
      <c r="A11" s="3" t="s">
        <v>1285</v>
      </c>
      <c r="B11" t="s">
        <v>295</v>
      </c>
      <c r="L11" t="str">
        <f>'Стоимость за кв.м.'!A73</f>
        <v>Материал 9</v>
      </c>
      <c r="M11">
        <f t="shared" si="0"/>
        <v>0</v>
      </c>
      <c r="N11">
        <f t="shared" si="1"/>
        <v>0</v>
      </c>
      <c r="O11">
        <f>'Стоимость за кв.м.'!B73</f>
        <v>188</v>
      </c>
    </row>
    <row r="12" spans="1:16">
      <c r="L12" t="str">
        <f>'Стоимость за кв.м.'!A74</f>
        <v>Материал 10</v>
      </c>
      <c r="M12">
        <f t="shared" si="0"/>
        <v>0</v>
      </c>
      <c r="N12">
        <f t="shared" si="1"/>
        <v>0</v>
      </c>
      <c r="O12">
        <f>'Стоимость за кв.м.'!B74</f>
        <v>200</v>
      </c>
    </row>
    <row r="15" spans="1:16" ht="15.75" thickBot="1">
      <c r="B15" t="s">
        <v>1301</v>
      </c>
      <c r="C15" t="s">
        <v>975</v>
      </c>
    </row>
    <row r="16" spans="1:16" ht="16.5" thickTop="1" thickBot="1">
      <c r="A16" s="3" t="s">
        <v>383</v>
      </c>
      <c r="B16" s="326">
        <f>SUM(B18:B23)</f>
        <v>563.76800000000003</v>
      </c>
      <c r="C16" s="323">
        <f>SUM(C18:C23)</f>
        <v>2160.0980839999997</v>
      </c>
    </row>
    <row r="17" spans="1:3" ht="16.5" thickTop="1" thickBot="1">
      <c r="A17" s="3" t="s">
        <v>1288</v>
      </c>
      <c r="B17" s="324"/>
      <c r="C17" s="324"/>
    </row>
    <row r="18" spans="1:3" ht="16.5" thickTop="1" thickBot="1">
      <c r="A18" s="3" t="s">
        <v>1289</v>
      </c>
      <c r="B18" s="324">
        <f>'Стоимость за кв.м.'!$B$55</f>
        <v>100</v>
      </c>
      <c r="C18" s="324">
        <f>'Стоимость за кв.м.'!$B$55</f>
        <v>100</v>
      </c>
    </row>
    <row r="19" spans="1:3" ht="16.5" thickTop="1" thickBot="1">
      <c r="A19" s="3" t="s">
        <v>542</v>
      </c>
      <c r="B19" s="324">
        <f>'Стоимость за кв.м.'!$B$56*(Плот.резка!B5/100)*IF(B7=J1,1,0)</f>
        <v>183.3</v>
      </c>
      <c r="C19" s="325">
        <f>'Стоимость за кв.м.'!$B$56*(Плот.резка!C5/100)*IF(B7=J1,1,0)</f>
        <v>554.19487200000003</v>
      </c>
    </row>
    <row r="20" spans="1:3" ht="16.5" thickTop="1" thickBot="1">
      <c r="A20" s="3" t="s">
        <v>1286</v>
      </c>
      <c r="B20" s="324">
        <f>'Стоимость за кв.м.'!$B$56*(Плот.резка!B5/100)*IF(B8=J1,1,0)</f>
        <v>183.3</v>
      </c>
      <c r="C20" s="324">
        <f>'Стоимость за кв.м.'!$B$56*(Плот.резка!C5/100)*IF(B8=J1,1,0)</f>
        <v>554.19487200000003</v>
      </c>
    </row>
    <row r="21" spans="1:3" ht="16.5" thickTop="1" thickBot="1">
      <c r="A21" s="3" t="s">
        <v>1290</v>
      </c>
      <c r="B21" s="324">
        <f>((B4+1)*(B3+1))/10000*$M$2</f>
        <v>61.379999999999995</v>
      </c>
      <c r="C21" s="324">
        <f>((C4+1)*(C3+1))/10000*$M$2</f>
        <v>598.8608999999999</v>
      </c>
    </row>
    <row r="22" spans="1:3" ht="16.5" thickTop="1" thickBot="1">
      <c r="A22" s="3" t="s">
        <v>1284</v>
      </c>
      <c r="B22" s="324">
        <f>((B3+1)*(B4+1))/10000*'Стоимость за кв.м.'!B64*IF(B10=J1,1,0)</f>
        <v>23.187999999999999</v>
      </c>
      <c r="C22" s="324">
        <f>((C3+1)*(C4+1))/10000*'Стоимость за кв.м.'!B64*IF(B10=J1,1,0)</f>
        <v>226.23633999999996</v>
      </c>
    </row>
    <row r="23" spans="1:3" ht="16.5" thickTop="1" thickBot="1">
      <c r="A23" s="3" t="s">
        <v>1285</v>
      </c>
      <c r="B23" s="324">
        <f>B6*'Стоимость за кв.м.'!B60*IF(B11=J1,1,0)</f>
        <v>12.6</v>
      </c>
      <c r="C23" s="324">
        <f>C3*C4/10000*'Стоимость за кв.м.'!B60*IF(B11=J1,1,0)</f>
        <v>126.61109999999999</v>
      </c>
    </row>
    <row r="24" spans="1:3" ht="15.75" thickTop="1"/>
  </sheetData>
  <dataValidations count="3">
    <dataValidation type="list" allowBlank="1" showInputMessage="1" showErrorMessage="1" sqref="B10:B11 B7:B8">
      <formula1>$J$1:$J$2</formula1>
    </dataValidation>
    <dataValidation type="list" allowBlank="1" showInputMessage="1" showErrorMessage="1" sqref="B9">
      <formula1>$L$3:$L$12</formula1>
    </dataValidation>
    <dataValidation type="list" allowBlank="1" showInputMessage="1" showErrorMessage="1" sqref="P1">
      <formula1>$P$2:$P$3</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dimension ref="A1:R46"/>
  <sheetViews>
    <sheetView topLeftCell="C1" workbookViewId="0">
      <selection activeCell="K3" sqref="K3"/>
    </sheetView>
  </sheetViews>
  <sheetFormatPr defaultRowHeight="15"/>
  <cols>
    <col min="1" max="1" width="29.42578125" customWidth="1"/>
    <col min="2" max="3" width="14.85546875" customWidth="1"/>
    <col min="4" max="4" width="17.7109375" customWidth="1"/>
    <col min="5" max="5" width="14.7109375" customWidth="1"/>
    <col min="6" max="6" width="10.28515625" bestFit="1" customWidth="1"/>
  </cols>
  <sheetData>
    <row r="1" spans="1:18">
      <c r="A1" t="s">
        <v>170</v>
      </c>
      <c r="F1" t="s">
        <v>134</v>
      </c>
      <c r="G1" t="s">
        <v>135</v>
      </c>
      <c r="H1" t="s">
        <v>95</v>
      </c>
      <c r="I1" t="s">
        <v>96</v>
      </c>
      <c r="J1" t="s">
        <v>132</v>
      </c>
      <c r="K1" t="s">
        <v>133</v>
      </c>
      <c r="L1" t="s">
        <v>279</v>
      </c>
      <c r="N1" t="s">
        <v>307</v>
      </c>
      <c r="O1" t="s">
        <v>308</v>
      </c>
      <c r="P1" t="s">
        <v>344</v>
      </c>
      <c r="Q1" t="s">
        <v>378</v>
      </c>
      <c r="R1" t="s">
        <v>1174</v>
      </c>
    </row>
    <row r="2" spans="1:18">
      <c r="A2" t="str">
        <f>Печать!A5</f>
        <v> 210х297 (А4)</v>
      </c>
      <c r="F2">
        <f>IF($A$2=$A$3,F3,IF($A$2=$A$4,F4,IF($A$2=$A$5,F5,IF($A$2=$A$6,F6,IF($A$2=$A$7,F7,IF($A$2=$A$8,F8,IF($A$2=$A$9,F9,IF($A$2=$A$10,F10,IF($A$2=$A$11,F11,IF($A$2=$A$12,F12,IF($A$2=$A$13,F13,IF($A$2=$A$14,F14,IF($A$2=$A$15,F15,IF($A$2=$A$16,F16,IF($A$2=$A$17,F17,IF($A$2=$A$18,F18,IF($A$2=$A$19,F19,IF($A$2=$A$20,F20,IF($A$2=$A$21,F21,IF($A$2=$A$22,F22,IF($A$2=$A$23,F23,0)))))))))))))))))))))</f>
        <v>1</v>
      </c>
      <c r="G2">
        <f>IF($A$2=$A$3,G3,IF($A$2=$A$4,G4,IF($A$2=$A$5,G5,IF($A$2=$A$6,G6,IF($A$2=$A$7,G7,IF($A$2=$A$8,G8,IF($A$2=$A$9,G9,IF($A$2=$A$10,G10,IF($A$2=$A$11,G11,IF($A$2=$A$12,G12,IF($A$2=$A$13,G13,IF($A$2=$A$14,G14,IF($A$2=$A$15,G15,IF($A$2=$A$16,G16,IF($A$2=$A$17,G17,IF($A$2=$A$18,G18,IF($A$2=$A$19,G19,IF($A$2=$A$20,G20,IF($A$2=$A$21,G21,IF($A$2=$A$22,G22,IF($A$2=$A$23,G23,0)))))))))))))))))))))</f>
        <v>1</v>
      </c>
      <c r="H2">
        <f>IF($A$2=$A$3,H3,IF($A$2=$A$4,H4,IF($A$2=$A$5,H5,IF($A$2=$A$6,H6,IF($A$2=$A$7,H7,IF($A$2=$A$8,H8,IF($A$2=$A$9,H9,IF($A$2=$A$10,H10,IF($A$2=$A$11,H11,IF($A$2=$A$12,H12,IF($A$2=$A$13,H13,IF($A$2=$A$14,H14,IF($A$2=$A$15,H15,IF($A$2=$A$16,H16,IF($A$2=$A$17,H17,IF($A$2=$A$18,H18,IF($A$2=$A$19,H19,IF($A$2=$A$20,H20,IF($A$2=$A$21,H21,IF($A$2=$A$22,H22,IF($A$2=$A$23,H23,0)))))))))))))))))))))</f>
        <v>4</v>
      </c>
      <c r="I2">
        <f>IF($A$2=$A$3,I3,IF($A$2=$A$4,I4,IF($A$2=$A$5,I5,IF($A$2=$A$6,I6,IF($A$2=$A$7,I7,IF($A$2=$A$8,I8,IF($A$2=$A$9,I9,IF($A$2=$A$10,I10,IF($A$2=$A$11,I11,IF($A$2=$A$12,I12,IF($A$2=$A$13,I13,IF($A$2=$A$14,I14,IF($A$2=$A$15,I15,IF($A$2=$A$16,I16,IF($A$2=$A$17,I17,IF($A$2=$A$18,I18,IF($A$2=$A$19,I19,IF($A$2=$A$20,I20,IF($A$2=$A$21,I21,IF($A$2=$A$22,I22,IF($A$2=$A$23,I23,IF($A$2=$A$23,I23,0))))))))))))))))))))))</f>
        <v>0</v>
      </c>
      <c r="J2">
        <f>IF($A$2=$A$3,J3,IF($A$2=$A$4,J4,IF($A$2=$A$5,J5,IF($A$2=$A$6,J6,IF($A$2=$A$7,J7,IF($A$2=$A$8,J8,IF($A$2=$A$9,J9,IF($A$2=$A$10,J10,IF($A$2=$A$11,J11,IF($A$2=$A$12,J12,IF($A$2=$A$13,J13,IF($A$2=$A$14,J14,IF($A$2=$A$15,J15,IF($A$2=$A$16,J16,IF($A$2=$A$17,J17,IF($A$2=$A$18,J18,IF($A$2=$A$19,J19,IF($A$2=$A$20,J20,IF($A$2=$A$21,J21,IF($A$2=$A$22,J22,IF($A$2=$A$22,J22,0)))))))))))))))))))))</f>
        <v>1.25</v>
      </c>
      <c r="K2" t="str">
        <f>IF($A$2=$A$3,K3,IF($A$2=$A$4,K4,IF($A$2=$A$5,K5,IF($A$2=$A$6,K6,IF($A$2=$A$7,K7,IF($A$2=$A$8,K8,IF($A$2=$A$9,K9,IF($A$2=$A$10,K10,IF($A$2=$A$11,K11,IF($A$2=$A$12,K12,IF($A$2=$A$13,K13,IF($A$2=$A$14,K14,IF($A$2=$A$15,K15,IF($A$2=$A$16,K16,IF($A$2=$A$17,K17,IF($A$2=$A$18,K18,IF($A$2=$A$19,K19,IF($A$2=$A$20,K20,IF($A$2=$A$21,K21,IF($A$2=$A$22,K22,IF($A$2=$A$23,K23,0)))))))))))))))))))))</f>
        <v>A4</v>
      </c>
      <c r="L2">
        <f>IF($A$2=$A$3,L3,IF($A$2=$A$4,L4,IF($A$2=$A$5,L5,IF($A$2=$A$6,L6,IF($A$2=$A$7,L7,IF($A$2=$A$8,L8,IF($A$2=$A$9,L9,IF($A$2=$A$10,L10,IF($A$2=$A$11,L11,IF($A$2=$A$12,L12,IF($A$2=$A$13,L13,IF($A$2=$A$14,L14,IF($A$2=$A$15,L15,IF($A$2=$A$16,L16,IF($A$2=$A$17,L17,IF($A$2=$A$18,L18,IF($A$2=$A$19,L19,IF($A$2=$A$20,L20,IF($A$2=$A$21,L21,IF($A$2=$A$22,L22,IF($A$2=$A$23,L23,0)))))))))))))))))))))</f>
        <v>1</v>
      </c>
      <c r="N2">
        <f>IF($A$2=$A$3,N3,IF($A$2=$A$4,N4,IF($A$2=$A$5,N5,IF($A$2=$A$6,N6,IF($A$2=$A$7,N7,IF($A$2=$A$8,N8,IF($A$2=$A$9,N9,IF($A$2=$A$10,N10,IF($A$2=$A$11,N11,IF($A$2=$A$12,N12,IF($A$2=$A$13,N13,IF($A$2=$A$14,N14,IF($A$2=$A$15,N15,IF($A$2=$A$16,N16,IF($A$2=$A$17,N17,IF($A$2=$A$18,N18,IF($A$2=$A$19,N19,IF($A$2=$A$20,N20,IF($A$2=$A$21,N21,IF($A$2=$A$22,N22,IF($A$2=$A$23,N23,0)))))))))))))))))))))</f>
        <v>100</v>
      </c>
      <c r="O2">
        <f>IF($A$2=$A$3,O3,IF($A$2=$A$4,O4,IF($A$2=$A$5,O5,IF($A$2=$A$6,O6,IF($A$2=$A$7,O7,IF($A$2=$A$8,O8,IF($A$2=$A$9,O9,IF($A$2=$A$10,O10,IF($A$2=$A$11,O11,IF($A$2=$A$12,O12,IF($A$2=$A$13,O13,IF($A$2=$A$14,O14,IF($A$2=$A$15,O15,IF($A$2=$A$16,O16,IF($A$2=$A$17,O17,IF($A$2=$A$18,O18,IF($A$2=$A$19,O19,IF($A$2=$A$20,O20,IF($A$2=$A$21,O21,IF($A$2=$A$22,O22,IF($A$2=$A$23,O23,0)))))))))))))))))))))</f>
        <v>100</v>
      </c>
      <c r="Q2">
        <f>IF($A$2=$A$3,Q3,IF($A$2=$A$4,Q4,IF($A$2=$A$5,Q5,IF($A$2=$A$6,Q6,IF($A$2=$A$7,Q7,IF($A$2=$A$8,Q8,IF($A$2=$A$9,Q9,IF($A$2=$A$10,Q10,IF($A$2=$A$11,Q11,IF($A$2=$A$12,Q12,IF($A$2=$A$13,Q13,IF($A$2=$A$14,Q14,IF($A$2=$A$15,Q15,IF($A$2=$A$16,Q16,IF($A$2=$A$17,Q17,IF($A$2=$A$18,Q18,IF($A$2=$A$19,Q19,IF($A$2=$A$20,Q20,IF($A$2=$A$21,Q21,IF($A$2=$A$22,Q22,IF($A$2=$A$23,Q23,0)))))))))))))))))))))</f>
        <v>62370</v>
      </c>
      <c r="R2">
        <f>IF($A$2=$A$3,R3,IF($A$2=$A$4,R4,IF($A$2=$A$5,R5,IF($A$2=$A$6,R6,IF($A$2=$A$7,R7,IF($A$2=$A$8,R8,IF($A$2=$A$9,R9,IF($A$2=$A$10,R10,IF($A$2=$A$11,R11,IF($A$2=$A$12,R12,IF($A$2=$A$13,R13,IF($A$2=$A$14,R14,IF($A$2=$A$15,R15,IF($A$2=$A$16,R16,IF($A$2=$A$17,R17,IF($A$2=$A$18,R18,IF($A$2=$A$19,R19,IF($A$2=$A$20,R20,IF($A$2=$A$21,R21,IF($A$2=$A$22,R22,IF($A$2=$A$23,R23,0)))))))))))))))))))))</f>
        <v>6.2370000000000002E-2</v>
      </c>
    </row>
    <row r="3" spans="1:18">
      <c r="A3" t="s">
        <v>84</v>
      </c>
      <c r="B3" t="s">
        <v>0</v>
      </c>
      <c r="C3" t="s">
        <v>1</v>
      </c>
      <c r="D3" t="s">
        <v>2</v>
      </c>
      <c r="E3" t="s">
        <v>3</v>
      </c>
      <c r="F3">
        <v>12</v>
      </c>
      <c r="G3">
        <v>12</v>
      </c>
      <c r="H3">
        <v>9</v>
      </c>
      <c r="I3">
        <f>H3-4</f>
        <v>5</v>
      </c>
      <c r="J3">
        <f>Резка!$B$13+Форматы!I3*Резка!$B$14</f>
        <v>1.415</v>
      </c>
      <c r="K3" t="s">
        <v>125</v>
      </c>
      <c r="L3">
        <v>3</v>
      </c>
      <c r="N3">
        <f>CEILING(Печать!$A$3/100*96/F3,1)</f>
        <v>8</v>
      </c>
      <c r="O3">
        <f>N3*F3</f>
        <v>96</v>
      </c>
      <c r="Q3">
        <f>90*50</f>
        <v>4500</v>
      </c>
      <c r="R3">
        <f>Q3/1000000</f>
        <v>4.4999999999999997E-3</v>
      </c>
    </row>
    <row r="4" spans="1:18">
      <c r="A4" t="s">
        <v>75</v>
      </c>
      <c r="B4" t="s">
        <v>4</v>
      </c>
      <c r="C4" t="s">
        <v>5</v>
      </c>
      <c r="D4" t="s">
        <v>6</v>
      </c>
      <c r="E4" t="s">
        <v>7</v>
      </c>
      <c r="F4">
        <v>8</v>
      </c>
      <c r="G4">
        <v>9</v>
      </c>
      <c r="H4">
        <v>8</v>
      </c>
      <c r="I4">
        <f t="shared" ref="I4:I22" si="0">H4-4</f>
        <v>4</v>
      </c>
      <c r="J4">
        <f>Резка!$B$13+Форматы!I4*Резка!$B$14</f>
        <v>1.3820000000000001</v>
      </c>
      <c r="K4" t="s">
        <v>125</v>
      </c>
      <c r="L4">
        <v>2</v>
      </c>
      <c r="N4">
        <f>CEILING(Печать!$A$3/Форматы!F4,1)</f>
        <v>13</v>
      </c>
      <c r="O4">
        <f t="shared" ref="O4:O19" si="1">N4*F4</f>
        <v>104</v>
      </c>
      <c r="Q4">
        <f>100*70</f>
        <v>7000</v>
      </c>
      <c r="R4">
        <f t="shared" ref="R4:R22" si="2">Q4/1000000</f>
        <v>7.0000000000000001E-3</v>
      </c>
    </row>
    <row r="5" spans="1:18">
      <c r="A5" t="s">
        <v>76</v>
      </c>
      <c r="B5" t="s">
        <v>8</v>
      </c>
      <c r="C5" t="s">
        <v>9</v>
      </c>
      <c r="D5" t="s">
        <v>10</v>
      </c>
      <c r="E5" t="s">
        <v>11</v>
      </c>
      <c r="F5">
        <v>6</v>
      </c>
      <c r="G5">
        <v>6</v>
      </c>
      <c r="H5">
        <v>7</v>
      </c>
      <c r="I5">
        <f t="shared" si="0"/>
        <v>3</v>
      </c>
      <c r="J5">
        <f>Резка!$B$13+Форматы!I5*Резка!$B$14</f>
        <v>1.349</v>
      </c>
      <c r="K5" t="str">
        <f>IF(Печать!$E$5="да","SRA4","A4")</f>
        <v>A4</v>
      </c>
      <c r="L5">
        <v>2</v>
      </c>
      <c r="N5">
        <f>CEILING(Печать!$A$3/Форматы!F5,1)</f>
        <v>17</v>
      </c>
      <c r="O5">
        <f t="shared" si="1"/>
        <v>102</v>
      </c>
      <c r="Q5">
        <f>150*70</f>
        <v>10500</v>
      </c>
      <c r="R5">
        <f t="shared" si="2"/>
        <v>1.0500000000000001E-2</v>
      </c>
    </row>
    <row r="6" spans="1:18">
      <c r="A6" t="s">
        <v>77</v>
      </c>
      <c r="B6" t="s">
        <v>12</v>
      </c>
      <c r="C6" t="s">
        <v>13</v>
      </c>
      <c r="D6" t="s">
        <v>14</v>
      </c>
      <c r="E6" t="s">
        <v>15</v>
      </c>
      <c r="F6">
        <v>3</v>
      </c>
      <c r="G6">
        <v>3</v>
      </c>
      <c r="H6">
        <v>6</v>
      </c>
      <c r="I6">
        <f t="shared" si="0"/>
        <v>2</v>
      </c>
      <c r="J6">
        <f>Резка!$B$13+Форматы!I6*Резка!$B$14</f>
        <v>1.3160000000000001</v>
      </c>
      <c r="K6" t="str">
        <f>IF(Печать!$E$5="да","SRA4","A4")</f>
        <v>A4</v>
      </c>
      <c r="L6">
        <v>3</v>
      </c>
      <c r="N6">
        <f>CEILING(Печать!$A$3/Форматы!F6,1)</f>
        <v>34</v>
      </c>
      <c r="O6">
        <f t="shared" si="1"/>
        <v>102</v>
      </c>
      <c r="Q6">
        <f>210*98</f>
        <v>20580</v>
      </c>
      <c r="R6">
        <f t="shared" si="2"/>
        <v>2.0580000000000001E-2</v>
      </c>
    </row>
    <row r="7" spans="1:18">
      <c r="A7" t="s">
        <v>79</v>
      </c>
      <c r="B7" t="s">
        <v>25</v>
      </c>
      <c r="C7" t="s">
        <v>26</v>
      </c>
      <c r="D7" t="s">
        <v>27</v>
      </c>
      <c r="E7" t="s">
        <v>28</v>
      </c>
      <c r="F7">
        <v>1</v>
      </c>
      <c r="G7">
        <v>1</v>
      </c>
      <c r="H7">
        <v>4</v>
      </c>
      <c r="I7">
        <f t="shared" si="0"/>
        <v>0</v>
      </c>
      <c r="J7">
        <f>Резка!$B$13+Форматы!I7*Резка!$B$14</f>
        <v>1.25</v>
      </c>
      <c r="K7" t="str">
        <f>IF(Печать!$E$5="да","SRA3","A3")</f>
        <v>A3</v>
      </c>
      <c r="L7">
        <v>1</v>
      </c>
      <c r="N7">
        <f>Печать!$A$3</f>
        <v>100</v>
      </c>
      <c r="O7">
        <f>Печать!$A$3</f>
        <v>100</v>
      </c>
      <c r="Q7">
        <f>297*420</f>
        <v>124740</v>
      </c>
      <c r="R7">
        <f t="shared" si="2"/>
        <v>0.12474</v>
      </c>
    </row>
    <row r="8" spans="1:18">
      <c r="A8" t="s">
        <v>80</v>
      </c>
      <c r="B8" t="s">
        <v>29</v>
      </c>
      <c r="C8" t="s">
        <v>30</v>
      </c>
      <c r="D8" t="s">
        <v>31</v>
      </c>
      <c r="E8" t="s">
        <v>32</v>
      </c>
      <c r="F8">
        <v>1</v>
      </c>
      <c r="G8">
        <v>1</v>
      </c>
      <c r="H8">
        <v>4</v>
      </c>
      <c r="I8">
        <f t="shared" si="0"/>
        <v>0</v>
      </c>
      <c r="J8">
        <f>Резка!$B$13+Форматы!I8*Резка!$B$14</f>
        <v>1.25</v>
      </c>
      <c r="K8" t="str">
        <f>IF(Печать!$E$5="да","SRA4","A4")</f>
        <v>A4</v>
      </c>
      <c r="L8">
        <v>1</v>
      </c>
      <c r="N8">
        <f>CEILING(Печать!$A$3/Форматы!F8,1)</f>
        <v>100</v>
      </c>
      <c r="O8">
        <f t="shared" si="1"/>
        <v>100</v>
      </c>
      <c r="Q8">
        <f>210*297</f>
        <v>62370</v>
      </c>
      <c r="R8">
        <f t="shared" si="2"/>
        <v>6.2370000000000002E-2</v>
      </c>
    </row>
    <row r="9" spans="1:18">
      <c r="A9" t="s">
        <v>81</v>
      </c>
      <c r="B9" t="s">
        <v>33</v>
      </c>
      <c r="C9" t="s">
        <v>34</v>
      </c>
      <c r="D9" t="s">
        <v>35</v>
      </c>
      <c r="E9" t="s">
        <v>36</v>
      </c>
      <c r="F9">
        <v>2</v>
      </c>
      <c r="G9">
        <v>2</v>
      </c>
      <c r="H9">
        <v>5</v>
      </c>
      <c r="I9">
        <f t="shared" si="0"/>
        <v>1</v>
      </c>
      <c r="J9">
        <f>Резка!$B$13+Форматы!I9*Резка!$B$14</f>
        <v>1.2829999999999999</v>
      </c>
      <c r="K9" t="str">
        <f>IF(Печать!$E$5="да","SRA4","A4")</f>
        <v>A4</v>
      </c>
      <c r="L9">
        <v>2</v>
      </c>
      <c r="N9">
        <f>CEILING(Печать!$A$3/Форматы!F9,1)</f>
        <v>50</v>
      </c>
      <c r="O9">
        <f t="shared" si="1"/>
        <v>100</v>
      </c>
      <c r="Q9">
        <f>148*210</f>
        <v>31080</v>
      </c>
      <c r="R9">
        <f t="shared" si="2"/>
        <v>3.108E-2</v>
      </c>
    </row>
    <row r="10" spans="1:18">
      <c r="A10" t="s">
        <v>82</v>
      </c>
      <c r="B10" t="s">
        <v>37</v>
      </c>
      <c r="C10" t="s">
        <v>38</v>
      </c>
      <c r="D10" t="s">
        <v>39</v>
      </c>
      <c r="E10" t="s">
        <v>40</v>
      </c>
      <c r="F10">
        <v>4</v>
      </c>
      <c r="G10">
        <v>4</v>
      </c>
      <c r="H10">
        <v>6</v>
      </c>
      <c r="I10">
        <f t="shared" si="0"/>
        <v>2</v>
      </c>
      <c r="J10">
        <f>Резка!$B$13+Форматы!I10*Резка!$B$14</f>
        <v>1.3160000000000001</v>
      </c>
      <c r="K10" t="str">
        <f>IF(Печать!$E$5="да","SRA4","A4")</f>
        <v>A4</v>
      </c>
      <c r="L10">
        <v>2</v>
      </c>
      <c r="N10">
        <f>CEILING(Печать!$A$3/Форматы!F10,1)</f>
        <v>25</v>
      </c>
      <c r="O10">
        <f t="shared" si="1"/>
        <v>100</v>
      </c>
      <c r="Q10">
        <f>105*148</f>
        <v>15540</v>
      </c>
      <c r="R10">
        <f t="shared" si="2"/>
        <v>1.554E-2</v>
      </c>
    </row>
    <row r="11" spans="1:18">
      <c r="A11" t="s">
        <v>83</v>
      </c>
      <c r="B11" t="s">
        <v>41</v>
      </c>
      <c r="C11" t="s">
        <v>42</v>
      </c>
      <c r="D11" t="s">
        <v>43</v>
      </c>
      <c r="E11" t="s">
        <v>44</v>
      </c>
      <c r="F11">
        <v>20</v>
      </c>
      <c r="G11">
        <v>24</v>
      </c>
      <c r="H11">
        <v>12</v>
      </c>
      <c r="I11">
        <f t="shared" si="0"/>
        <v>8</v>
      </c>
      <c r="J11">
        <f>Резка!$B$13+Форматы!I11*Резка!$B$14</f>
        <v>1.514</v>
      </c>
      <c r="K11" t="s">
        <v>125</v>
      </c>
      <c r="L11">
        <v>5</v>
      </c>
      <c r="N11">
        <f>CEILING(Печать!$A$3/Форматы!F11,1)</f>
        <v>5</v>
      </c>
      <c r="O11">
        <f t="shared" si="1"/>
        <v>100</v>
      </c>
      <c r="Q11">
        <f>50*50</f>
        <v>2500</v>
      </c>
      <c r="R11">
        <f t="shared" si="2"/>
        <v>2.5000000000000001E-3</v>
      </c>
    </row>
    <row r="12" spans="1:18">
      <c r="A12" t="s">
        <v>20</v>
      </c>
      <c r="B12" t="s">
        <v>21</v>
      </c>
      <c r="C12" t="s">
        <v>22</v>
      </c>
      <c r="D12" t="s">
        <v>23</v>
      </c>
      <c r="E12" t="s">
        <v>24</v>
      </c>
      <c r="F12">
        <v>1</v>
      </c>
      <c r="G12">
        <v>1</v>
      </c>
      <c r="H12">
        <v>4</v>
      </c>
      <c r="I12">
        <f>H12-4</f>
        <v>0</v>
      </c>
      <c r="J12">
        <f>Резка!$B$13+Форматы!I12*Резка!$B$14</f>
        <v>1.25</v>
      </c>
      <c r="K12" t="str">
        <f>IF(Печать!$E$5="да","SRA4","A4")</f>
        <v>A4</v>
      </c>
      <c r="L12">
        <v>1</v>
      </c>
      <c r="N12">
        <f>CEILING(Печать!$A$3/Форматы!F12,1)</f>
        <v>100</v>
      </c>
      <c r="O12">
        <f t="shared" si="1"/>
        <v>100</v>
      </c>
      <c r="Q12">
        <f>210*200</f>
        <v>42000</v>
      </c>
      <c r="R12">
        <f t="shared" si="2"/>
        <v>4.2000000000000003E-2</v>
      </c>
    </row>
    <row r="13" spans="1:18">
      <c r="A13" t="s">
        <v>78</v>
      </c>
      <c r="B13" t="s">
        <v>16</v>
      </c>
      <c r="C13" t="s">
        <v>17</v>
      </c>
      <c r="D13" t="s">
        <v>18</v>
      </c>
      <c r="E13" t="s">
        <v>19</v>
      </c>
      <c r="F13">
        <v>2</v>
      </c>
      <c r="G13">
        <v>2</v>
      </c>
      <c r="H13">
        <v>5</v>
      </c>
      <c r="I13">
        <f>H13-4</f>
        <v>1</v>
      </c>
      <c r="J13">
        <f>Резка!$B$13+Форматы!I13*Резка!$B$14</f>
        <v>1.2829999999999999</v>
      </c>
      <c r="K13" t="s">
        <v>125</v>
      </c>
      <c r="L13">
        <v>2</v>
      </c>
      <c r="M13" t="s">
        <v>123</v>
      </c>
      <c r="N13">
        <f>CEILING(Печать!$A$3/Форматы!F13,1)</f>
        <v>50</v>
      </c>
      <c r="O13">
        <f t="shared" si="1"/>
        <v>100</v>
      </c>
      <c r="P13">
        <v>50</v>
      </c>
      <c r="Q13">
        <f>120*120</f>
        <v>14400</v>
      </c>
      <c r="R13">
        <f t="shared" si="2"/>
        <v>1.44E-2</v>
      </c>
    </row>
    <row r="14" spans="1:18">
      <c r="A14" t="s">
        <v>45</v>
      </c>
      <c r="B14" t="s">
        <v>46</v>
      </c>
      <c r="C14" t="s">
        <v>47</v>
      </c>
      <c r="D14" t="s">
        <v>48</v>
      </c>
      <c r="E14" t="s">
        <v>49</v>
      </c>
      <c r="F14">
        <v>16</v>
      </c>
      <c r="G14">
        <v>18</v>
      </c>
      <c r="H14">
        <v>10</v>
      </c>
      <c r="I14">
        <f t="shared" si="0"/>
        <v>6</v>
      </c>
      <c r="J14">
        <f>Резка!$B$13+Форматы!I14*Резка!$B$14</f>
        <v>1.448</v>
      </c>
      <c r="K14" t="s">
        <v>125</v>
      </c>
      <c r="L14">
        <v>4</v>
      </c>
      <c r="M14" t="s">
        <v>124</v>
      </c>
      <c r="N14">
        <f>CEILING(Печать!$A$3/Форматы!F14,1)</f>
        <v>7</v>
      </c>
      <c r="O14">
        <f t="shared" si="1"/>
        <v>112</v>
      </c>
      <c r="P14">
        <v>47</v>
      </c>
      <c r="Q14">
        <f>50*70</f>
        <v>3500</v>
      </c>
      <c r="R14">
        <f t="shared" si="2"/>
        <v>3.5000000000000001E-3</v>
      </c>
    </row>
    <row r="15" spans="1:18">
      <c r="A15" t="s">
        <v>50</v>
      </c>
      <c r="B15" t="s">
        <v>51</v>
      </c>
      <c r="C15" t="s">
        <v>52</v>
      </c>
      <c r="D15" t="s">
        <v>53</v>
      </c>
      <c r="E15" t="s">
        <v>54</v>
      </c>
      <c r="F15">
        <v>8</v>
      </c>
      <c r="G15">
        <v>12</v>
      </c>
      <c r="H15">
        <v>10</v>
      </c>
      <c r="I15">
        <f t="shared" si="0"/>
        <v>6</v>
      </c>
      <c r="J15">
        <f>Резка!$B$13+Форматы!I15*Резка!$B$14</f>
        <v>1.448</v>
      </c>
      <c r="K15" t="str">
        <f>IF(Печать!$E$5="да","SRA4","A4")</f>
        <v>A4</v>
      </c>
      <c r="L15">
        <v>4</v>
      </c>
      <c r="M15" t="s">
        <v>125</v>
      </c>
      <c r="N15">
        <f>CEILING(Печать!$A$3/Форматы!F15,1)</f>
        <v>13</v>
      </c>
      <c r="O15">
        <f t="shared" si="1"/>
        <v>104</v>
      </c>
      <c r="P15">
        <v>37</v>
      </c>
      <c r="Q15">
        <f>70*70</f>
        <v>4900</v>
      </c>
      <c r="R15">
        <f t="shared" si="2"/>
        <v>4.8999999999999998E-3</v>
      </c>
    </row>
    <row r="16" spans="1:18">
      <c r="A16" t="s">
        <v>55</v>
      </c>
      <c r="B16" t="s">
        <v>56</v>
      </c>
      <c r="C16" t="s">
        <v>57</v>
      </c>
      <c r="D16" t="s">
        <v>58</v>
      </c>
      <c r="E16" t="s">
        <v>59</v>
      </c>
      <c r="F16">
        <v>9</v>
      </c>
      <c r="G16">
        <v>10</v>
      </c>
      <c r="H16">
        <v>8</v>
      </c>
      <c r="I16">
        <f t="shared" si="0"/>
        <v>4</v>
      </c>
      <c r="J16">
        <f>Резка!$B$13+Форматы!I16*Резка!$B$14</f>
        <v>1.3820000000000001</v>
      </c>
      <c r="K16" t="s">
        <v>125</v>
      </c>
      <c r="L16">
        <v>3</v>
      </c>
      <c r="M16" t="s">
        <v>126</v>
      </c>
      <c r="N16">
        <f>CEILING(Печать!$A$3/Форматы!F16,1)</f>
        <v>12</v>
      </c>
      <c r="O16">
        <f t="shared" si="1"/>
        <v>108</v>
      </c>
      <c r="P16">
        <v>35</v>
      </c>
      <c r="Q16">
        <f>60*90</f>
        <v>5400</v>
      </c>
      <c r="R16">
        <f t="shared" si="2"/>
        <v>5.4000000000000003E-3</v>
      </c>
    </row>
    <row r="17" spans="1:18">
      <c r="A17" t="s">
        <v>60</v>
      </c>
      <c r="B17" t="s">
        <v>61</v>
      </c>
      <c r="C17" t="s">
        <v>62</v>
      </c>
      <c r="D17" t="s">
        <v>63</v>
      </c>
      <c r="E17" t="s">
        <v>64</v>
      </c>
      <c r="F17">
        <v>6</v>
      </c>
      <c r="G17">
        <v>6</v>
      </c>
      <c r="H17">
        <v>7</v>
      </c>
      <c r="I17">
        <f t="shared" si="0"/>
        <v>3</v>
      </c>
      <c r="J17">
        <f>Резка!$B$13+Форматы!I17*Резка!$B$14</f>
        <v>1.349</v>
      </c>
      <c r="K17" t="s">
        <v>125</v>
      </c>
      <c r="L17">
        <v>3</v>
      </c>
      <c r="M17" t="s">
        <v>127</v>
      </c>
      <c r="N17">
        <f>CEILING(Печать!$A$3/Форматы!F17,1)</f>
        <v>17</v>
      </c>
      <c r="O17">
        <f t="shared" si="1"/>
        <v>102</v>
      </c>
      <c r="P17">
        <v>105</v>
      </c>
      <c r="Q17">
        <f>90*90</f>
        <v>8100</v>
      </c>
      <c r="R17">
        <f t="shared" si="2"/>
        <v>8.0999999999999996E-3</v>
      </c>
    </row>
    <row r="18" spans="1:18">
      <c r="A18" t="s">
        <v>65</v>
      </c>
      <c r="B18" t="s">
        <v>66</v>
      </c>
      <c r="C18" t="s">
        <v>67</v>
      </c>
      <c r="D18" t="s">
        <v>68</v>
      </c>
      <c r="E18" t="s">
        <v>69</v>
      </c>
      <c r="F18">
        <v>6</v>
      </c>
      <c r="G18">
        <v>6</v>
      </c>
      <c r="H18">
        <v>8</v>
      </c>
      <c r="I18">
        <f t="shared" si="0"/>
        <v>4</v>
      </c>
      <c r="J18">
        <f>Резка!$B$13+Форматы!I18*Резка!$B$14</f>
        <v>1.3820000000000001</v>
      </c>
      <c r="K18" t="s">
        <v>125</v>
      </c>
      <c r="L18">
        <v>6</v>
      </c>
      <c r="N18">
        <f>CEILING(Печать!$A$3/Форматы!F18,1)</f>
        <v>17</v>
      </c>
      <c r="O18">
        <f t="shared" si="1"/>
        <v>102</v>
      </c>
      <c r="Q18">
        <f>49*200</f>
        <v>9800</v>
      </c>
      <c r="R18">
        <f t="shared" si="2"/>
        <v>9.7999999999999997E-3</v>
      </c>
    </row>
    <row r="19" spans="1:18">
      <c r="A19" t="s">
        <v>70</v>
      </c>
      <c r="B19" t="s">
        <v>71</v>
      </c>
      <c r="C19" t="s">
        <v>72</v>
      </c>
      <c r="D19" t="s">
        <v>73</v>
      </c>
      <c r="E19" t="s">
        <v>74</v>
      </c>
      <c r="F19">
        <v>3</v>
      </c>
      <c r="G19">
        <v>3</v>
      </c>
      <c r="H19">
        <v>6</v>
      </c>
      <c r="I19">
        <f t="shared" si="0"/>
        <v>2</v>
      </c>
      <c r="J19">
        <f>Резка!$B$13+Форматы!I19*Резка!$B$14</f>
        <v>1.3160000000000001</v>
      </c>
      <c r="K19" t="str">
        <f>IF(Печать!$E$5="да","SRA4","A4")</f>
        <v>A4</v>
      </c>
      <c r="L19">
        <v>3</v>
      </c>
      <c r="N19">
        <f>CEILING(Печать!$A$3/Форматы!F19,1)</f>
        <v>34</v>
      </c>
      <c r="O19">
        <f t="shared" si="1"/>
        <v>102</v>
      </c>
      <c r="Q19">
        <f>100*210</f>
        <v>21000</v>
      </c>
      <c r="R19">
        <f t="shared" si="2"/>
        <v>2.1000000000000001E-2</v>
      </c>
    </row>
    <row r="20" spans="1:18">
      <c r="A20" t="s">
        <v>86</v>
      </c>
      <c r="B20" t="s">
        <v>87</v>
      </c>
      <c r="C20" t="s">
        <v>89</v>
      </c>
      <c r="D20" t="s">
        <v>91</v>
      </c>
      <c r="E20" t="s">
        <v>93</v>
      </c>
      <c r="F20">
        <v>1</v>
      </c>
      <c r="G20">
        <v>1</v>
      </c>
      <c r="H20">
        <v>4</v>
      </c>
      <c r="I20">
        <f t="shared" si="0"/>
        <v>0</v>
      </c>
      <c r="J20">
        <f>Резка!$B$13+Форматы!I20*Резка!$B$14</f>
        <v>1.25</v>
      </c>
      <c r="K20" t="s">
        <v>127</v>
      </c>
      <c r="L20">
        <v>1</v>
      </c>
      <c r="N20">
        <f>Печать!$A$3</f>
        <v>100</v>
      </c>
      <c r="O20">
        <f>Печать!$A$3</f>
        <v>100</v>
      </c>
      <c r="Q20">
        <f>960*305</f>
        <v>292800</v>
      </c>
      <c r="R20">
        <f t="shared" si="2"/>
        <v>0.2928</v>
      </c>
    </row>
    <row r="21" spans="1:18">
      <c r="A21" t="s">
        <v>85</v>
      </c>
      <c r="B21" t="s">
        <v>88</v>
      </c>
      <c r="C21" t="s">
        <v>90</v>
      </c>
      <c r="D21" t="s">
        <v>92</v>
      </c>
      <c r="E21" t="s">
        <v>94</v>
      </c>
      <c r="F21">
        <v>1</v>
      </c>
      <c r="G21">
        <v>1</v>
      </c>
      <c r="H21">
        <v>4</v>
      </c>
      <c r="I21">
        <f t="shared" si="0"/>
        <v>0</v>
      </c>
      <c r="J21">
        <f>Резка!$B$13+Форматы!I21*Резка!$B$14</f>
        <v>1.25</v>
      </c>
      <c r="K21" t="s">
        <v>127</v>
      </c>
      <c r="L21">
        <v>1</v>
      </c>
      <c r="N21">
        <f>Печать!$A$3</f>
        <v>100</v>
      </c>
      <c r="O21">
        <f>Печать!$A$3</f>
        <v>100</v>
      </c>
      <c r="Q21">
        <f>630*297</f>
        <v>187110</v>
      </c>
      <c r="R21">
        <f t="shared" si="2"/>
        <v>0.18711</v>
      </c>
    </row>
    <row r="22" spans="1:18">
      <c r="A22" t="s">
        <v>321</v>
      </c>
      <c r="F22">
        <v>1</v>
      </c>
      <c r="G22">
        <v>1</v>
      </c>
      <c r="H22">
        <v>4</v>
      </c>
      <c r="I22">
        <f t="shared" si="0"/>
        <v>0</v>
      </c>
      <c r="J22">
        <f>Резка!$B$13+Форматы!I22*Резка!$B$14</f>
        <v>1.25</v>
      </c>
      <c r="K22" t="s">
        <v>123</v>
      </c>
      <c r="L22">
        <v>1</v>
      </c>
      <c r="N22">
        <f>Печать!$A$3</f>
        <v>100</v>
      </c>
      <c r="O22">
        <f>Печать!$A$3</f>
        <v>100</v>
      </c>
      <c r="Q22">
        <f>450*320</f>
        <v>144000</v>
      </c>
      <c r="R22">
        <f t="shared" si="2"/>
        <v>0.14399999999999999</v>
      </c>
    </row>
    <row r="23" spans="1:18">
      <c r="A23" t="s">
        <v>1158</v>
      </c>
      <c r="F23">
        <v>1</v>
      </c>
      <c r="G23">
        <v>1</v>
      </c>
      <c r="H23">
        <v>4</v>
      </c>
      <c r="I23">
        <f>H23-4</f>
        <v>0</v>
      </c>
      <c r="K23" t="s">
        <v>126</v>
      </c>
      <c r="L23">
        <v>1</v>
      </c>
      <c r="N23">
        <f>Печать!$A$3</f>
        <v>100</v>
      </c>
      <c r="O23">
        <f>Печать!$A$3</f>
        <v>100</v>
      </c>
    </row>
    <row r="25" spans="1:18">
      <c r="A25" t="s">
        <v>170</v>
      </c>
      <c r="F25" t="s">
        <v>134</v>
      </c>
    </row>
    <row r="26" spans="1:18">
      <c r="A26" t="str">
        <f>Печать!A33</f>
        <v> 210х297 (А4)</v>
      </c>
      <c r="F26">
        <f>IF(A26=A27,F27,IF(A26=A28,F28,IF(A26=A29,F29,IF(A26=A30,F30,IF(A26=A31,F31,IF(A26=A32,F32,IF(A26=A33,F33,IF(A26=A34,F34,IF(A26=A35,F35,IF(A26=A36,F36,IF(A26=A37,F37,IF(A26=A38,F38,IF(A26=A39,F39,IF(A26=A40,F40,IF(A26=A41,F41,IF(A26=A42,F42,IF(A26=A43,F43,IF(A26=A44,F44,IF(A26=A45,F45,IF(A26=A46,F46,0))))))))))))))))))))</f>
        <v>1</v>
      </c>
    </row>
    <row r="27" spans="1:18">
      <c r="A27" t="s">
        <v>84</v>
      </c>
      <c r="B27" t="s">
        <v>0</v>
      </c>
      <c r="C27" t="s">
        <v>1</v>
      </c>
      <c r="D27" t="s">
        <v>2</v>
      </c>
      <c r="E27" t="s">
        <v>3</v>
      </c>
      <c r="F27">
        <v>12</v>
      </c>
    </row>
    <row r="28" spans="1:18">
      <c r="A28" t="s">
        <v>75</v>
      </c>
      <c r="B28" t="s">
        <v>4</v>
      </c>
      <c r="C28" t="s">
        <v>5</v>
      </c>
      <c r="D28" t="s">
        <v>6</v>
      </c>
      <c r="E28" t="s">
        <v>7</v>
      </c>
      <c r="F28">
        <v>8</v>
      </c>
    </row>
    <row r="29" spans="1:18">
      <c r="A29" t="s">
        <v>76</v>
      </c>
      <c r="B29" t="s">
        <v>8</v>
      </c>
      <c r="C29" t="s">
        <v>9</v>
      </c>
      <c r="D29" t="s">
        <v>10</v>
      </c>
      <c r="E29" t="s">
        <v>11</v>
      </c>
      <c r="F29">
        <v>6</v>
      </c>
    </row>
    <row r="30" spans="1:18">
      <c r="A30" t="s">
        <v>77</v>
      </c>
      <c r="B30" t="s">
        <v>12</v>
      </c>
      <c r="C30" t="s">
        <v>13</v>
      </c>
      <c r="D30" t="s">
        <v>14</v>
      </c>
      <c r="E30" t="s">
        <v>15</v>
      </c>
      <c r="F30">
        <v>3</v>
      </c>
    </row>
    <row r="31" spans="1:18">
      <c r="A31" t="s">
        <v>79</v>
      </c>
      <c r="B31" t="s">
        <v>25</v>
      </c>
      <c r="C31" t="s">
        <v>26</v>
      </c>
      <c r="D31" t="s">
        <v>27</v>
      </c>
      <c r="E31" t="s">
        <v>28</v>
      </c>
      <c r="F31">
        <v>1</v>
      </c>
    </row>
    <row r="32" spans="1:18">
      <c r="A32" t="s">
        <v>80</v>
      </c>
      <c r="B32" t="s">
        <v>29</v>
      </c>
      <c r="C32" t="s">
        <v>30</v>
      </c>
      <c r="D32" t="s">
        <v>31</v>
      </c>
      <c r="E32" t="s">
        <v>32</v>
      </c>
      <c r="F32">
        <v>1</v>
      </c>
    </row>
    <row r="33" spans="1:6">
      <c r="A33" t="s">
        <v>81</v>
      </c>
      <c r="B33" t="s">
        <v>33</v>
      </c>
      <c r="C33" t="s">
        <v>34</v>
      </c>
      <c r="D33" t="s">
        <v>35</v>
      </c>
      <c r="E33" t="s">
        <v>36</v>
      </c>
      <c r="F33">
        <v>2</v>
      </c>
    </row>
    <row r="34" spans="1:6">
      <c r="A34" t="s">
        <v>82</v>
      </c>
      <c r="B34" t="s">
        <v>37</v>
      </c>
      <c r="C34" t="s">
        <v>38</v>
      </c>
      <c r="D34" t="s">
        <v>39</v>
      </c>
      <c r="E34" t="s">
        <v>40</v>
      </c>
      <c r="F34">
        <v>4</v>
      </c>
    </row>
    <row r="35" spans="1:6">
      <c r="A35" t="s">
        <v>83</v>
      </c>
      <c r="B35" t="s">
        <v>41</v>
      </c>
      <c r="C35" t="s">
        <v>42</v>
      </c>
      <c r="D35" t="s">
        <v>43</v>
      </c>
      <c r="E35" t="s">
        <v>44</v>
      </c>
      <c r="F35">
        <v>20</v>
      </c>
    </row>
    <row r="36" spans="1:6">
      <c r="A36" t="s">
        <v>20</v>
      </c>
      <c r="B36" t="s">
        <v>21</v>
      </c>
      <c r="C36" t="s">
        <v>22</v>
      </c>
      <c r="D36" t="s">
        <v>23</v>
      </c>
      <c r="E36" t="s">
        <v>24</v>
      </c>
      <c r="F36">
        <v>1</v>
      </c>
    </row>
    <row r="37" spans="1:6">
      <c r="A37" t="s">
        <v>78</v>
      </c>
      <c r="B37" t="s">
        <v>16</v>
      </c>
      <c r="C37" t="s">
        <v>17</v>
      </c>
      <c r="D37" t="s">
        <v>18</v>
      </c>
      <c r="E37" t="s">
        <v>19</v>
      </c>
      <c r="F37">
        <v>2</v>
      </c>
    </row>
    <row r="38" spans="1:6">
      <c r="A38" t="s">
        <v>45</v>
      </c>
      <c r="B38" t="s">
        <v>46</v>
      </c>
      <c r="C38" t="s">
        <v>47</v>
      </c>
      <c r="D38" t="s">
        <v>48</v>
      </c>
      <c r="E38" t="s">
        <v>49</v>
      </c>
      <c r="F38">
        <v>16</v>
      </c>
    </row>
    <row r="39" spans="1:6">
      <c r="A39" t="s">
        <v>50</v>
      </c>
      <c r="B39" t="s">
        <v>51</v>
      </c>
      <c r="C39" t="s">
        <v>52</v>
      </c>
      <c r="D39" t="s">
        <v>53</v>
      </c>
      <c r="E39" t="s">
        <v>54</v>
      </c>
      <c r="F39">
        <v>12</v>
      </c>
    </row>
    <row r="40" spans="1:6">
      <c r="A40" t="s">
        <v>55</v>
      </c>
      <c r="B40" t="s">
        <v>56</v>
      </c>
      <c r="C40" t="s">
        <v>57</v>
      </c>
      <c r="D40" t="s">
        <v>58</v>
      </c>
      <c r="E40" t="s">
        <v>59</v>
      </c>
      <c r="F40">
        <v>9</v>
      </c>
    </row>
    <row r="41" spans="1:6">
      <c r="A41" t="s">
        <v>60</v>
      </c>
      <c r="B41" t="s">
        <v>61</v>
      </c>
      <c r="C41" t="s">
        <v>62</v>
      </c>
      <c r="D41" t="s">
        <v>63</v>
      </c>
      <c r="E41" t="s">
        <v>64</v>
      </c>
      <c r="F41">
        <v>6</v>
      </c>
    </row>
    <row r="42" spans="1:6">
      <c r="A42" t="s">
        <v>65</v>
      </c>
      <c r="B42" t="s">
        <v>66</v>
      </c>
      <c r="C42" t="s">
        <v>67</v>
      </c>
      <c r="D42" t="s">
        <v>68</v>
      </c>
      <c r="E42" t="s">
        <v>69</v>
      </c>
      <c r="F42">
        <v>6</v>
      </c>
    </row>
    <row r="43" spans="1:6">
      <c r="A43" t="s">
        <v>70</v>
      </c>
      <c r="B43" t="s">
        <v>71</v>
      </c>
      <c r="C43" t="s">
        <v>72</v>
      </c>
      <c r="D43" t="s">
        <v>73</v>
      </c>
      <c r="E43" t="s">
        <v>74</v>
      </c>
      <c r="F43">
        <v>3</v>
      </c>
    </row>
    <row r="44" spans="1:6">
      <c r="A44" t="s">
        <v>86</v>
      </c>
      <c r="B44" t="s">
        <v>87</v>
      </c>
      <c r="C44" t="s">
        <v>89</v>
      </c>
      <c r="D44" t="s">
        <v>91</v>
      </c>
      <c r="E44" t="s">
        <v>93</v>
      </c>
      <c r="F44">
        <v>1</v>
      </c>
    </row>
    <row r="45" spans="1:6">
      <c r="A45" t="s">
        <v>85</v>
      </c>
      <c r="B45" t="s">
        <v>88</v>
      </c>
      <c r="C45" t="s">
        <v>90</v>
      </c>
      <c r="D45" t="s">
        <v>92</v>
      </c>
      <c r="E45" t="s">
        <v>94</v>
      </c>
      <c r="F45">
        <v>1</v>
      </c>
    </row>
    <row r="46" spans="1:6">
      <c r="A46" t="s">
        <v>321</v>
      </c>
      <c r="F46">
        <v>1</v>
      </c>
    </row>
  </sheetData>
  <dataValidations count="2">
    <dataValidation type="list" allowBlank="1" showInputMessage="1" showErrorMessage="1" sqref="K3:K4 K23 K40:K42 K37:K38 K35 K44:K45 K27:K28 K16:K18 K13:K14 K11 K20:K21">
      <formula1>$M$11:$M$17</formula1>
    </dataValidation>
    <dataValidation type="list" allowBlank="1" showInputMessage="1" showErrorMessage="1" sqref="K46 K22">
      <formula1>$M$13:$M$17</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O54"/>
  <sheetViews>
    <sheetView workbookViewId="0">
      <selection activeCell="C4" sqref="C4"/>
    </sheetView>
  </sheetViews>
  <sheetFormatPr defaultRowHeight="15"/>
  <cols>
    <col min="6" max="6" width="12.7109375" customWidth="1"/>
  </cols>
  <sheetData>
    <row r="1" spans="1:11">
      <c r="A1" s="1" t="s">
        <v>762</v>
      </c>
      <c r="B1" s="1"/>
      <c r="C1" s="1"/>
      <c r="D1" s="1"/>
      <c r="E1" s="1"/>
      <c r="F1" s="1"/>
    </row>
    <row r="2" spans="1:11" ht="15.75" thickBot="1">
      <c r="A2" s="1"/>
      <c r="B2" s="1"/>
      <c r="C2" s="1"/>
      <c r="D2" s="1"/>
      <c r="E2" s="1"/>
      <c r="F2" s="1"/>
    </row>
    <row r="3" spans="1:11" ht="46.5" thickTop="1" thickBot="1">
      <c r="A3" s="190" t="s">
        <v>763</v>
      </c>
      <c r="B3" s="1"/>
      <c r="C3" s="191" t="s">
        <v>755</v>
      </c>
      <c r="D3" s="1" t="s">
        <v>527</v>
      </c>
      <c r="E3" s="1" t="s">
        <v>756</v>
      </c>
      <c r="F3" s="41" t="s">
        <v>374</v>
      </c>
    </row>
    <row r="4" spans="1:11" ht="16.5" thickTop="1" thickBot="1">
      <c r="A4" s="66" t="s">
        <v>750</v>
      </c>
      <c r="B4" s="1"/>
      <c r="C4" s="66">
        <v>75</v>
      </c>
      <c r="D4" s="236">
        <f>Печать!B3</f>
        <v>1</v>
      </c>
      <c r="E4" s="1">
        <f>Аксессуры!B28</f>
        <v>9</v>
      </c>
      <c r="F4" s="41">
        <f>CEILING(Аксессуры!A26,10)*D4</f>
        <v>1140</v>
      </c>
      <c r="G4">
        <f>IF(F4=0,"Нет в коллекции",0)</f>
        <v>0</v>
      </c>
    </row>
    <row r="5" spans="1:11" ht="15.75" thickTop="1">
      <c r="E5" s="3"/>
    </row>
    <row r="6" spans="1:11" s="9" customFormat="1"/>
    <row r="7" spans="1:11" s="253" customFormat="1" ht="15.75" thickBot="1">
      <c r="A7" s="253" t="s">
        <v>1038</v>
      </c>
    </row>
    <row r="8" spans="1:11" s="253" customFormat="1" ht="46.5" thickTop="1" thickBot="1">
      <c r="A8" s="254" t="s">
        <v>763</v>
      </c>
      <c r="C8" s="255" t="s">
        <v>755</v>
      </c>
      <c r="D8" s="253" t="s">
        <v>527</v>
      </c>
      <c r="E8" s="254"/>
      <c r="F8" s="256" t="s">
        <v>374</v>
      </c>
      <c r="H8" s="253" t="s">
        <v>1162</v>
      </c>
      <c r="I8" s="253" t="s">
        <v>1166</v>
      </c>
      <c r="J8" s="253" t="s">
        <v>1167</v>
      </c>
      <c r="K8" s="253" t="s">
        <v>374</v>
      </c>
    </row>
    <row r="9" spans="1:11" s="253" customFormat="1" ht="16.5" thickTop="1" thickBot="1">
      <c r="A9" s="253" t="s">
        <v>215</v>
      </c>
      <c r="C9" s="253">
        <f>Печать!A3/Печать!C24+IF(Печать!K25&gt;0,Печать!K25*Себестоимости!H35,0)</f>
        <v>100</v>
      </c>
      <c r="D9" s="253">
        <f>Печать!C24</f>
        <v>1</v>
      </c>
      <c r="F9" s="256">
        <f>Настройки!U24*D9</f>
        <v>150</v>
      </c>
      <c r="I9" s="253">
        <f>Печать!W2</f>
        <v>19</v>
      </c>
      <c r="J9" s="253">
        <f>Печать!J22</f>
        <v>0</v>
      </c>
      <c r="K9" s="253">
        <f>Себестоимости!G35*J9*IF(Печать!I25=Печать!V3,0,1)</f>
        <v>0</v>
      </c>
    </row>
    <row r="10" spans="1:11" s="253" customFormat="1" ht="15.75" thickTop="1"/>
    <row r="11" spans="1:11" s="253" customFormat="1"/>
    <row r="12" spans="1:11" s="253" customFormat="1">
      <c r="A12" s="253" t="s">
        <v>1035</v>
      </c>
    </row>
    <row r="13" spans="1:11" s="253" customFormat="1">
      <c r="A13" s="253" t="s">
        <v>1036</v>
      </c>
      <c r="C13" s="253">
        <v>2</v>
      </c>
    </row>
    <row r="14" spans="1:11" s="253" customFormat="1"/>
    <row r="15" spans="1:11" s="9" customFormat="1"/>
    <row r="16" spans="1:11" s="9" customFormat="1"/>
    <row r="33" spans="1:15">
      <c r="I33">
        <f t="shared" ref="I33:O33" si="0">IF(I34=$C$9,1,0)</f>
        <v>0</v>
      </c>
      <c r="J33">
        <f t="shared" si="0"/>
        <v>0</v>
      </c>
      <c r="K33">
        <f t="shared" si="0"/>
        <v>0</v>
      </c>
      <c r="L33">
        <f t="shared" si="0"/>
        <v>0</v>
      </c>
      <c r="M33">
        <f t="shared" si="0"/>
        <v>0</v>
      </c>
      <c r="N33">
        <f t="shared" si="0"/>
        <v>0</v>
      </c>
      <c r="O33">
        <f t="shared" si="0"/>
        <v>0</v>
      </c>
    </row>
    <row r="34" spans="1:15">
      <c r="A34" t="s">
        <v>771</v>
      </c>
      <c r="F34" t="s">
        <v>1034</v>
      </c>
      <c r="I34">
        <v>30</v>
      </c>
      <c r="J34">
        <v>45</v>
      </c>
      <c r="K34">
        <v>60</v>
      </c>
      <c r="L34">
        <v>75</v>
      </c>
      <c r="M34">
        <v>85</v>
      </c>
      <c r="N34">
        <v>105</v>
      </c>
      <c r="O34">
        <v>120</v>
      </c>
    </row>
    <row r="35" spans="1:15">
      <c r="A35" t="s">
        <v>750</v>
      </c>
      <c r="C35">
        <v>10</v>
      </c>
      <c r="F35" t="str">
        <f>Аксессуры!B48</f>
        <v>белый</v>
      </c>
      <c r="G35">
        <v>30</v>
      </c>
      <c r="H35">
        <f t="shared" ref="H35:H42" si="1">IF(F35=$A$9,1,0)</f>
        <v>1</v>
      </c>
      <c r="I35">
        <f>$H35*I$33*I45</f>
        <v>0</v>
      </c>
      <c r="J35">
        <f t="shared" ref="J35:O35" si="2">$H35*J$33*J45</f>
        <v>0</v>
      </c>
      <c r="K35">
        <f t="shared" si="2"/>
        <v>0</v>
      </c>
      <c r="L35">
        <f t="shared" si="2"/>
        <v>0</v>
      </c>
      <c r="M35">
        <f t="shared" si="2"/>
        <v>0</v>
      </c>
      <c r="N35">
        <f t="shared" si="2"/>
        <v>0</v>
      </c>
      <c r="O35">
        <f t="shared" si="2"/>
        <v>0</v>
      </c>
    </row>
    <row r="36" spans="1:15">
      <c r="A36" t="s">
        <v>751</v>
      </c>
      <c r="C36">
        <v>25</v>
      </c>
      <c r="F36" t="str">
        <f>Аксессуры!B49</f>
        <v>бронза</v>
      </c>
      <c r="G36">
        <v>45</v>
      </c>
      <c r="H36">
        <f t="shared" si="1"/>
        <v>0</v>
      </c>
      <c r="I36">
        <f t="shared" ref="I36:O42" si="3">$H36*I$33*I46</f>
        <v>0</v>
      </c>
      <c r="J36">
        <f t="shared" si="3"/>
        <v>0</v>
      </c>
      <c r="K36">
        <f t="shared" si="3"/>
        <v>0</v>
      </c>
      <c r="L36">
        <f t="shared" si="3"/>
        <v>0</v>
      </c>
      <c r="M36">
        <f t="shared" si="3"/>
        <v>0</v>
      </c>
      <c r="N36">
        <f t="shared" si="3"/>
        <v>0</v>
      </c>
      <c r="O36">
        <f t="shared" si="3"/>
        <v>0</v>
      </c>
    </row>
    <row r="37" spans="1:15">
      <c r="A37" t="s">
        <v>752</v>
      </c>
      <c r="C37">
        <v>40</v>
      </c>
      <c r="F37" t="str">
        <f>Аксессуры!B50</f>
        <v>желтый</v>
      </c>
      <c r="G37">
        <v>60</v>
      </c>
      <c r="H37">
        <f t="shared" si="1"/>
        <v>0</v>
      </c>
      <c r="I37">
        <f t="shared" si="3"/>
        <v>0</v>
      </c>
      <c r="J37">
        <f t="shared" si="3"/>
        <v>0</v>
      </c>
      <c r="K37">
        <f t="shared" si="3"/>
        <v>0</v>
      </c>
      <c r="L37">
        <f t="shared" si="3"/>
        <v>0</v>
      </c>
      <c r="M37">
        <f t="shared" si="3"/>
        <v>0</v>
      </c>
      <c r="N37">
        <f t="shared" si="3"/>
        <v>0</v>
      </c>
      <c r="O37">
        <f t="shared" si="3"/>
        <v>0</v>
      </c>
    </row>
    <row r="38" spans="1:15">
      <c r="A38" t="s">
        <v>753</v>
      </c>
      <c r="C38">
        <v>55</v>
      </c>
      <c r="F38" t="str">
        <f>Аксессуры!B51</f>
        <v>зеленый</v>
      </c>
      <c r="G38">
        <v>75</v>
      </c>
      <c r="H38">
        <f t="shared" si="1"/>
        <v>0</v>
      </c>
      <c r="I38">
        <f t="shared" si="3"/>
        <v>0</v>
      </c>
      <c r="J38">
        <f t="shared" si="3"/>
        <v>0</v>
      </c>
      <c r="K38">
        <f t="shared" si="3"/>
        <v>0</v>
      </c>
      <c r="L38">
        <f t="shared" si="3"/>
        <v>0</v>
      </c>
      <c r="M38">
        <f t="shared" si="3"/>
        <v>0</v>
      </c>
      <c r="N38">
        <f t="shared" si="3"/>
        <v>0</v>
      </c>
      <c r="O38">
        <f t="shared" si="3"/>
        <v>0</v>
      </c>
    </row>
    <row r="39" spans="1:15">
      <c r="A39" t="s">
        <v>754</v>
      </c>
      <c r="C39">
        <v>75</v>
      </c>
      <c r="F39" t="str">
        <f>Аксессуры!B52</f>
        <v>красный</v>
      </c>
      <c r="G39">
        <v>85</v>
      </c>
      <c r="H39">
        <f t="shared" si="1"/>
        <v>0</v>
      </c>
      <c r="I39">
        <f t="shared" si="3"/>
        <v>0</v>
      </c>
      <c r="J39">
        <f t="shared" si="3"/>
        <v>0</v>
      </c>
      <c r="K39">
        <f t="shared" si="3"/>
        <v>0</v>
      </c>
      <c r="L39">
        <f t="shared" si="3"/>
        <v>0</v>
      </c>
      <c r="M39">
        <f>$H39*M$33*M49</f>
        <v>0</v>
      </c>
      <c r="N39">
        <f t="shared" si="3"/>
        <v>0</v>
      </c>
      <c r="O39">
        <f t="shared" si="3"/>
        <v>0</v>
      </c>
    </row>
    <row r="40" spans="1:15">
      <c r="C40">
        <v>100</v>
      </c>
      <c r="F40" t="str">
        <f>Аксессуры!B53</f>
        <v>серебро</v>
      </c>
      <c r="G40">
        <v>105</v>
      </c>
      <c r="H40">
        <f t="shared" si="1"/>
        <v>0</v>
      </c>
      <c r="I40">
        <f t="shared" si="3"/>
        <v>0</v>
      </c>
      <c r="J40">
        <f t="shared" si="3"/>
        <v>0</v>
      </c>
      <c r="K40">
        <f t="shared" si="3"/>
        <v>0</v>
      </c>
      <c r="L40">
        <f t="shared" si="3"/>
        <v>0</v>
      </c>
      <c r="M40">
        <f t="shared" si="3"/>
        <v>0</v>
      </c>
      <c r="N40">
        <f t="shared" si="3"/>
        <v>0</v>
      </c>
      <c r="O40">
        <f t="shared" si="3"/>
        <v>0</v>
      </c>
    </row>
    <row r="41" spans="1:15">
      <c r="C41">
        <v>130</v>
      </c>
      <c r="F41" t="str">
        <f>Аксессуры!B54</f>
        <v>синий</v>
      </c>
      <c r="G41">
        <v>120</v>
      </c>
      <c r="H41">
        <f t="shared" si="1"/>
        <v>0</v>
      </c>
      <c r="I41">
        <f t="shared" si="3"/>
        <v>0</v>
      </c>
      <c r="J41">
        <f t="shared" si="3"/>
        <v>0</v>
      </c>
      <c r="K41">
        <f t="shared" si="3"/>
        <v>0</v>
      </c>
      <c r="L41">
        <f t="shared" si="3"/>
        <v>0</v>
      </c>
      <c r="M41">
        <f t="shared" si="3"/>
        <v>0</v>
      </c>
      <c r="N41">
        <f t="shared" si="3"/>
        <v>0</v>
      </c>
      <c r="O41">
        <f t="shared" si="3"/>
        <v>0</v>
      </c>
    </row>
    <row r="42" spans="1:15">
      <c r="C42">
        <v>160</v>
      </c>
      <c r="F42" t="str">
        <f>Аксессуры!B55</f>
        <v>черный</v>
      </c>
      <c r="H42">
        <f t="shared" si="1"/>
        <v>0</v>
      </c>
      <c r="I42">
        <f t="shared" si="3"/>
        <v>0</v>
      </c>
      <c r="J42">
        <f t="shared" si="3"/>
        <v>0</v>
      </c>
      <c r="K42">
        <f t="shared" si="3"/>
        <v>0</v>
      </c>
      <c r="L42">
        <f t="shared" si="3"/>
        <v>0</v>
      </c>
      <c r="M42">
        <f t="shared" si="3"/>
        <v>0</v>
      </c>
      <c r="N42">
        <f t="shared" si="3"/>
        <v>0</v>
      </c>
      <c r="O42">
        <f>$H42*O$33*O52</f>
        <v>0</v>
      </c>
    </row>
    <row r="43" spans="1:15">
      <c r="C43">
        <v>190</v>
      </c>
    </row>
    <row r="44" spans="1:15">
      <c r="C44">
        <v>220</v>
      </c>
      <c r="H44" t="s">
        <v>1027</v>
      </c>
      <c r="I44">
        <v>30</v>
      </c>
      <c r="J44">
        <v>45</v>
      </c>
      <c r="K44">
        <v>60</v>
      </c>
      <c r="L44">
        <v>75</v>
      </c>
      <c r="M44">
        <v>90</v>
      </c>
      <c r="N44">
        <v>105</v>
      </c>
      <c r="O44">
        <v>120</v>
      </c>
    </row>
    <row r="45" spans="1:15">
      <c r="C45">
        <v>280</v>
      </c>
      <c r="H45" t="s">
        <v>765</v>
      </c>
      <c r="I45">
        <v>1</v>
      </c>
      <c r="J45">
        <v>1</v>
      </c>
      <c r="K45">
        <v>1</v>
      </c>
      <c r="L45">
        <v>1</v>
      </c>
      <c r="M45">
        <v>1</v>
      </c>
      <c r="N45">
        <v>1</v>
      </c>
      <c r="O45">
        <v>1</v>
      </c>
    </row>
    <row r="46" spans="1:15">
      <c r="C46">
        <v>340</v>
      </c>
      <c r="H46" t="s">
        <v>232</v>
      </c>
      <c r="I46">
        <v>1</v>
      </c>
      <c r="J46">
        <v>1</v>
      </c>
      <c r="K46">
        <v>1</v>
      </c>
      <c r="L46">
        <v>1</v>
      </c>
      <c r="M46">
        <v>1</v>
      </c>
      <c r="N46">
        <v>1</v>
      </c>
      <c r="O46">
        <v>1</v>
      </c>
    </row>
    <row r="47" spans="1:15">
      <c r="C47">
        <v>500</v>
      </c>
      <c r="H47" t="s">
        <v>768</v>
      </c>
      <c r="I47">
        <v>1</v>
      </c>
      <c r="J47">
        <v>1</v>
      </c>
      <c r="K47">
        <v>1</v>
      </c>
      <c r="L47">
        <v>1</v>
      </c>
      <c r="M47">
        <v>1</v>
      </c>
      <c r="N47">
        <v>1</v>
      </c>
      <c r="O47">
        <v>1</v>
      </c>
    </row>
    <row r="48" spans="1:15">
      <c r="H48" t="s">
        <v>767</v>
      </c>
      <c r="I48">
        <v>1</v>
      </c>
      <c r="J48">
        <v>1</v>
      </c>
      <c r="K48">
        <v>1</v>
      </c>
      <c r="L48">
        <v>1</v>
      </c>
      <c r="M48">
        <v>1</v>
      </c>
      <c r="N48">
        <v>1</v>
      </c>
      <c r="O48">
        <v>1</v>
      </c>
    </row>
    <row r="49" spans="1:15">
      <c r="H49" t="s">
        <v>769</v>
      </c>
      <c r="I49">
        <v>1</v>
      </c>
      <c r="J49">
        <v>1</v>
      </c>
      <c r="K49">
        <v>1</v>
      </c>
      <c r="L49">
        <v>1</v>
      </c>
      <c r="M49">
        <v>1</v>
      </c>
      <c r="N49">
        <v>1</v>
      </c>
      <c r="O49">
        <v>1</v>
      </c>
    </row>
    <row r="50" spans="1:15">
      <c r="H50" t="s">
        <v>225</v>
      </c>
      <c r="I50">
        <v>1</v>
      </c>
      <c r="J50">
        <v>1</v>
      </c>
      <c r="K50">
        <v>1</v>
      </c>
      <c r="L50">
        <v>1</v>
      </c>
      <c r="M50">
        <v>1</v>
      </c>
      <c r="N50">
        <v>1</v>
      </c>
      <c r="O50">
        <v>1</v>
      </c>
    </row>
    <row r="51" spans="1:15">
      <c r="H51" t="s">
        <v>766</v>
      </c>
      <c r="I51">
        <v>0</v>
      </c>
      <c r="J51">
        <v>0</v>
      </c>
      <c r="K51">
        <v>0</v>
      </c>
      <c r="L51">
        <v>0</v>
      </c>
      <c r="M51">
        <v>0</v>
      </c>
      <c r="N51">
        <v>0</v>
      </c>
      <c r="O51">
        <v>0</v>
      </c>
    </row>
    <row r="52" spans="1:15">
      <c r="H52" t="s">
        <v>770</v>
      </c>
      <c r="I52">
        <v>1</v>
      </c>
      <c r="J52">
        <v>1</v>
      </c>
      <c r="K52">
        <v>1</v>
      </c>
      <c r="L52">
        <v>1</v>
      </c>
      <c r="M52">
        <v>1</v>
      </c>
      <c r="N52">
        <v>1</v>
      </c>
      <c r="O52">
        <v>1</v>
      </c>
    </row>
    <row r="53" spans="1:15">
      <c r="A53" t="s">
        <v>1037</v>
      </c>
      <c r="C53">
        <v>2</v>
      </c>
    </row>
    <row r="54" spans="1:15">
      <c r="C54">
        <v>4</v>
      </c>
    </row>
  </sheetData>
  <dataValidations count="4">
    <dataValidation type="list" allowBlank="1" showInputMessage="1" showErrorMessage="1" sqref="C4">
      <formula1>$C$35:$C$47</formula1>
    </dataValidation>
    <dataValidation type="list" allowBlank="1" showInputMessage="1" showErrorMessage="1" sqref="A4">
      <formula1>$A$35:$A$39</formula1>
    </dataValidation>
    <dataValidation type="list" allowBlank="1" showInputMessage="1" showErrorMessage="1" sqref="A9">
      <formula1>$F$35:$F$42</formula1>
    </dataValidation>
    <dataValidation type="list" allowBlank="1" showInputMessage="1" showErrorMessage="1" sqref="C13">
      <formula1>$C$53:$C$54</formula1>
    </dataValidation>
  </dataValidations>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dimension ref="A1:M52"/>
  <sheetViews>
    <sheetView workbookViewId="0">
      <pane ySplit="2" topLeftCell="A21" activePane="bottomLeft" state="frozen"/>
      <selection pane="bottomLeft" activeCell="B39" sqref="B39"/>
    </sheetView>
  </sheetViews>
  <sheetFormatPr defaultRowHeight="15"/>
  <cols>
    <col min="2" max="2" width="31.7109375" customWidth="1"/>
    <col min="3" max="3" width="13.5703125" customWidth="1"/>
    <col min="4" max="4" width="14.85546875" customWidth="1"/>
    <col min="5" max="5" width="11.85546875" customWidth="1"/>
    <col min="6" max="6" width="10.5703125" customWidth="1"/>
    <col min="7" max="8" width="16.85546875" customWidth="1"/>
    <col min="9" max="9" width="9.85546875" customWidth="1"/>
  </cols>
  <sheetData>
    <row r="1" spans="1:13">
      <c r="A1" s="372" t="s">
        <v>747</v>
      </c>
      <c r="B1" s="372"/>
      <c r="I1" s="3" t="s">
        <v>618</v>
      </c>
      <c r="J1">
        <f>SUM(J3:J52)</f>
        <v>0</v>
      </c>
    </row>
    <row r="2" spans="1:13">
      <c r="B2" t="str">
        <f>Себестоимости!B192</f>
        <v>Название</v>
      </c>
      <c r="C2" t="str">
        <f>Себестоимости!L192</f>
        <v>Размер</v>
      </c>
      <c r="D2" t="str">
        <f>Себестоимости!M192</f>
        <v>Назначение</v>
      </c>
      <c r="E2" t="str">
        <f>Себестоимости!N192</f>
        <v>Назначение</v>
      </c>
      <c r="F2" t="str">
        <f>Себестоимости!O192</f>
        <v>Секции</v>
      </c>
      <c r="G2" t="str">
        <f>Себестоимости!P192</f>
        <v>Ориентация</v>
      </c>
      <c r="H2" t="s">
        <v>527</v>
      </c>
      <c r="I2" t="s">
        <v>374</v>
      </c>
      <c r="L2" t="s">
        <v>378</v>
      </c>
      <c r="M2" t="s">
        <v>305</v>
      </c>
    </row>
    <row r="3" spans="1:13">
      <c r="B3" t="s">
        <v>995</v>
      </c>
      <c r="C3" t="s">
        <v>996</v>
      </c>
      <c r="D3" t="s">
        <v>994</v>
      </c>
      <c r="E3" t="s">
        <v>978</v>
      </c>
      <c r="G3" t="s">
        <v>982</v>
      </c>
      <c r="H3">
        <v>0</v>
      </c>
      <c r="I3">
        <f>Себестоимости!G191</f>
        <v>0</v>
      </c>
      <c r="J3">
        <f>I3</f>
        <v>0</v>
      </c>
      <c r="L3">
        <f>H3*1.25</f>
        <v>0</v>
      </c>
      <c r="M3" t="s">
        <v>525</v>
      </c>
    </row>
    <row r="4" spans="1:13">
      <c r="A4">
        <f>Себестоимости!A193</f>
        <v>9401</v>
      </c>
      <c r="B4" t="str">
        <f>Себестоимости!B193</f>
        <v>Планшет А4 для одного листа</v>
      </c>
      <c r="C4" t="str">
        <f>Себестоимости!L193</f>
        <v>A4</v>
      </c>
      <c r="D4">
        <f>Себестоимости!M193</f>
        <v>0</v>
      </c>
      <c r="E4" t="str">
        <f>Себестоимости!N193</f>
        <v>1 лист</v>
      </c>
      <c r="F4">
        <f>Себестоимости!O193</f>
        <v>1</v>
      </c>
      <c r="G4" t="str">
        <f>Себестоимости!P193</f>
        <v>вертикальный</v>
      </c>
      <c r="H4">
        <v>0</v>
      </c>
      <c r="I4">
        <f>Себестоимости!G193</f>
        <v>365</v>
      </c>
      <c r="J4">
        <f>H4*I4</f>
        <v>0</v>
      </c>
      <c r="K4">
        <f>IF(D4="настенный",J4,0)</f>
        <v>0</v>
      </c>
      <c r="M4" t="s">
        <v>989</v>
      </c>
    </row>
    <row r="5" spans="1:13">
      <c r="A5">
        <f>Себестоимости!A194</f>
        <v>9402</v>
      </c>
      <c r="B5" t="str">
        <f>Себестоимости!B194</f>
        <v>Карман накопитель настенный А4</v>
      </c>
      <c r="C5" t="str">
        <f>Себестоимости!L194</f>
        <v>A4</v>
      </c>
      <c r="D5" t="str">
        <f>Себестоимости!M194</f>
        <v>настенный</v>
      </c>
      <c r="E5" t="str">
        <f>Себестоимости!N194</f>
        <v>объёмная</v>
      </c>
      <c r="F5">
        <f>Себестоимости!O194</f>
        <v>1</v>
      </c>
      <c r="G5" t="str">
        <f>Себестоимости!P194</f>
        <v>вертикальный</v>
      </c>
      <c r="H5">
        <v>0</v>
      </c>
      <c r="I5">
        <f>Себестоимости!G194</f>
        <v>290</v>
      </c>
      <c r="J5">
        <f t="shared" ref="J5:J27" si="0">H5*I5</f>
        <v>0</v>
      </c>
      <c r="K5">
        <f t="shared" ref="K5:K27" si="1">IF(D5="настенный",J5,0)</f>
        <v>0</v>
      </c>
      <c r="M5" t="s">
        <v>989</v>
      </c>
    </row>
    <row r="6" spans="1:13">
      <c r="A6">
        <f>Себестоимости!A195</f>
        <v>9403</v>
      </c>
      <c r="B6" t="str">
        <f>Себестоимости!B195</f>
        <v>Карман накопитель настенный А4</v>
      </c>
      <c r="C6" t="str">
        <f>Себестоимости!L195</f>
        <v>A5</v>
      </c>
      <c r="D6" t="str">
        <f>Себестоимости!M195</f>
        <v>настенный</v>
      </c>
      <c r="E6" t="str">
        <f>Себестоимости!N195</f>
        <v>объёмная</v>
      </c>
      <c r="F6">
        <f>Себестоимости!O195</f>
        <v>1</v>
      </c>
      <c r="G6" t="str">
        <f>Себестоимости!P195</f>
        <v>вертикальный</v>
      </c>
      <c r="H6">
        <v>0</v>
      </c>
      <c r="I6">
        <f>Себестоимости!G195</f>
        <v>165</v>
      </c>
      <c r="J6">
        <f t="shared" si="0"/>
        <v>0</v>
      </c>
      <c r="K6">
        <f t="shared" si="1"/>
        <v>0</v>
      </c>
      <c r="M6" t="s">
        <v>989</v>
      </c>
    </row>
    <row r="7" spans="1:13">
      <c r="A7">
        <f>Себестоимости!A196</f>
        <v>9404</v>
      </c>
      <c r="B7" t="str">
        <f>Себестоимости!B196</f>
        <v>Карман накопитель настенный А4</v>
      </c>
      <c r="C7" t="str">
        <f>Себестоимости!L196</f>
        <v>A4</v>
      </c>
      <c r="D7" t="str">
        <f>Себестоимости!M196</f>
        <v>настольный</v>
      </c>
      <c r="E7" t="str">
        <f>Себестоимости!N196</f>
        <v>объёмная</v>
      </c>
      <c r="F7">
        <f>Себестоимости!O196</f>
        <v>3</v>
      </c>
      <c r="G7" t="str">
        <f>Себестоимости!P196</f>
        <v>вертикальный</v>
      </c>
      <c r="H7">
        <v>0</v>
      </c>
      <c r="I7">
        <f>Себестоимости!G196</f>
        <v>750</v>
      </c>
      <c r="J7">
        <f t="shared" si="0"/>
        <v>0</v>
      </c>
      <c r="K7">
        <f t="shared" si="1"/>
        <v>0</v>
      </c>
      <c r="M7" t="s">
        <v>989</v>
      </c>
    </row>
    <row r="8" spans="1:13">
      <c r="A8">
        <f>Себестоимости!A197</f>
        <v>9405</v>
      </c>
      <c r="B8" t="str">
        <f>Себестоимости!B197</f>
        <v xml:space="preserve">Карман накопитель </v>
      </c>
      <c r="C8" t="str">
        <f>Себестоимости!L197</f>
        <v>A5</v>
      </c>
      <c r="D8" t="str">
        <f>Себестоимости!M197</f>
        <v>настенный</v>
      </c>
      <c r="E8" t="str">
        <f>Себестоимости!N197</f>
        <v>объёмная</v>
      </c>
      <c r="F8">
        <f>Себестоимости!O197</f>
        <v>1</v>
      </c>
      <c r="G8" t="str">
        <f>Себестоимости!P197</f>
        <v>вертикальный</v>
      </c>
      <c r="H8">
        <v>0</v>
      </c>
      <c r="I8">
        <f>Себестоимости!G197</f>
        <v>615</v>
      </c>
      <c r="J8">
        <f t="shared" si="0"/>
        <v>0</v>
      </c>
      <c r="K8">
        <f t="shared" si="1"/>
        <v>0</v>
      </c>
      <c r="M8" t="s">
        <v>989</v>
      </c>
    </row>
    <row r="9" spans="1:13">
      <c r="A9">
        <f>Себестоимости!A198</f>
        <v>9406</v>
      </c>
      <c r="B9" t="str">
        <f>Себестоимости!B198</f>
        <v>Накопитель</v>
      </c>
      <c r="C9" t="str">
        <f>Себестоимости!L198</f>
        <v>A5</v>
      </c>
      <c r="D9" t="str">
        <f>Себестоимости!M198</f>
        <v>настольный</v>
      </c>
      <c r="E9" t="str">
        <f>Себестоимости!N198</f>
        <v>объёмная</v>
      </c>
      <c r="F9">
        <f>Себестоимости!O198</f>
        <v>3</v>
      </c>
      <c r="G9" t="str">
        <f>Себестоимости!P198</f>
        <v>вертикальный</v>
      </c>
      <c r="H9">
        <v>0</v>
      </c>
      <c r="I9">
        <f>Себестоимости!G198</f>
        <v>615</v>
      </c>
      <c r="J9">
        <f t="shared" si="0"/>
        <v>0</v>
      </c>
      <c r="K9">
        <f t="shared" si="1"/>
        <v>0</v>
      </c>
      <c r="M9" t="s">
        <v>989</v>
      </c>
    </row>
    <row r="10" spans="1:13">
      <c r="A10">
        <f>Себестоимости!A199</f>
        <v>9407</v>
      </c>
      <c r="B10" t="str">
        <f>Себестоимости!B199</f>
        <v>4 секции накопитель</v>
      </c>
      <c r="C10" t="str">
        <f>Себестоимости!L199</f>
        <v>1/3 A4 евро</v>
      </c>
      <c r="D10" t="str">
        <f>Себестоимости!M199</f>
        <v>настольный</v>
      </c>
      <c r="E10" t="str">
        <f>Себестоимости!N199</f>
        <v>объёмная</v>
      </c>
      <c r="F10">
        <f>Себестоимости!O199</f>
        <v>4</v>
      </c>
      <c r="G10" t="str">
        <f>Себестоимости!P199</f>
        <v>вертикальный</v>
      </c>
      <c r="H10">
        <v>0</v>
      </c>
      <c r="I10">
        <f>Себестоимости!G199</f>
        <v>575</v>
      </c>
      <c r="J10">
        <f t="shared" si="0"/>
        <v>0</v>
      </c>
      <c r="K10">
        <f t="shared" si="1"/>
        <v>0</v>
      </c>
      <c r="M10" t="s">
        <v>989</v>
      </c>
    </row>
    <row r="11" spans="1:13">
      <c r="A11">
        <f>Себестоимости!A200</f>
        <v>9408</v>
      </c>
      <c r="B11" t="str">
        <f>Себестоимости!B200</f>
        <v>Буклетница</v>
      </c>
      <c r="C11" t="str">
        <f>Себестоимости!L200</f>
        <v>A4</v>
      </c>
      <c r="D11" t="str">
        <f>Себестоимости!M200</f>
        <v>настольный</v>
      </c>
      <c r="E11" t="str">
        <f>Себестоимости!N200</f>
        <v>объёмная</v>
      </c>
      <c r="F11">
        <f>Себестоимости!O200</f>
        <v>1</v>
      </c>
      <c r="G11" t="str">
        <f>Себестоимости!P200</f>
        <v>вертикальный</v>
      </c>
      <c r="H11">
        <v>0</v>
      </c>
      <c r="I11">
        <f>Себестоимости!G200</f>
        <v>245</v>
      </c>
      <c r="J11">
        <f t="shared" si="0"/>
        <v>0</v>
      </c>
      <c r="K11">
        <f t="shared" si="1"/>
        <v>0</v>
      </c>
      <c r="M11" t="s">
        <v>989</v>
      </c>
    </row>
    <row r="12" spans="1:13">
      <c r="A12">
        <f>Себестоимости!A201</f>
        <v>9409</v>
      </c>
      <c r="B12" t="str">
        <f>Себестоимости!B201</f>
        <v>Буклетница</v>
      </c>
      <c r="C12" t="str">
        <f>Себестоимости!L201</f>
        <v>1/3 A4 евро</v>
      </c>
      <c r="D12" t="str">
        <f>Себестоимости!M201</f>
        <v>настольный</v>
      </c>
      <c r="E12" t="str">
        <f>Себестоимости!N201</f>
        <v>объёмная</v>
      </c>
      <c r="F12">
        <f>Себестоимости!O201</f>
        <v>1</v>
      </c>
      <c r="G12" t="str">
        <f>Себестоимости!P201</f>
        <v>вертикальный</v>
      </c>
      <c r="H12">
        <v>0</v>
      </c>
      <c r="I12">
        <f>Себестоимости!G201</f>
        <v>130</v>
      </c>
      <c r="J12">
        <f t="shared" si="0"/>
        <v>0</v>
      </c>
      <c r="K12">
        <f t="shared" si="1"/>
        <v>0</v>
      </c>
      <c r="M12" t="s">
        <v>989</v>
      </c>
    </row>
    <row r="13" spans="1:13">
      <c r="A13">
        <f>Себестоимости!A202</f>
        <v>9410</v>
      </c>
      <c r="B13" t="str">
        <f>Себестоимости!B202</f>
        <v>Визитница</v>
      </c>
      <c r="C13" t="str">
        <f>Себестоимости!L202</f>
        <v>визитка</v>
      </c>
      <c r="D13" t="str">
        <f>Себестоимости!M202</f>
        <v>настольный</v>
      </c>
      <c r="E13" t="str">
        <f>Себестоимости!N202</f>
        <v>подставка</v>
      </c>
      <c r="F13">
        <f>Себестоимости!O202</f>
        <v>3</v>
      </c>
      <c r="G13" t="str">
        <f>Себестоимости!P202</f>
        <v>горизонтальный</v>
      </c>
      <c r="H13">
        <v>0</v>
      </c>
      <c r="I13">
        <f>Себестоимости!G202</f>
        <v>205</v>
      </c>
      <c r="J13">
        <f t="shared" si="0"/>
        <v>0</v>
      </c>
      <c r="K13">
        <f t="shared" si="1"/>
        <v>0</v>
      </c>
      <c r="M13" t="s">
        <v>989</v>
      </c>
    </row>
    <row r="14" spans="1:13">
      <c r="A14">
        <f>Себестоимости!A203</f>
        <v>9411</v>
      </c>
      <c r="B14" t="str">
        <f>Себестоимости!B203</f>
        <v>Визитница</v>
      </c>
      <c r="C14" t="str">
        <f>Себестоимости!L203</f>
        <v>визитка</v>
      </c>
      <c r="D14" t="str">
        <f>Себестоимости!M203</f>
        <v>настольный</v>
      </c>
      <c r="E14" t="str">
        <f>Себестоимости!N203</f>
        <v>подставка</v>
      </c>
      <c r="F14">
        <f>Себестоимости!O203</f>
        <v>4</v>
      </c>
      <c r="G14" t="str">
        <f>Себестоимости!P203</f>
        <v>горизонтальный</v>
      </c>
      <c r="H14">
        <v>0</v>
      </c>
      <c r="I14">
        <f>Себестоимости!G203</f>
        <v>225</v>
      </c>
      <c r="J14">
        <f t="shared" si="0"/>
        <v>0</v>
      </c>
      <c r="K14">
        <f t="shared" si="1"/>
        <v>0</v>
      </c>
      <c r="M14" t="s">
        <v>989</v>
      </c>
    </row>
    <row r="15" spans="1:13">
      <c r="A15">
        <f>Себестоимости!A204</f>
        <v>9412</v>
      </c>
      <c r="B15" t="str">
        <f>Себестоимости!B204</f>
        <v>Визитница</v>
      </c>
      <c r="C15" t="str">
        <f>Себестоимости!L204</f>
        <v>визитка</v>
      </c>
      <c r="D15" t="str">
        <f>Себестоимости!M204</f>
        <v>настольный</v>
      </c>
      <c r="E15" t="str">
        <f>Себестоимости!N204</f>
        <v>подставка</v>
      </c>
      <c r="F15">
        <f>Себестоимости!O204</f>
        <v>4</v>
      </c>
      <c r="G15">
        <f>Себестоимости!P204</f>
        <v>0</v>
      </c>
      <c r="H15">
        <v>0</v>
      </c>
      <c r="I15">
        <f>Себестоимости!G204</f>
        <v>235</v>
      </c>
      <c r="J15">
        <f t="shared" si="0"/>
        <v>0</v>
      </c>
      <c r="K15">
        <f t="shared" si="1"/>
        <v>0</v>
      </c>
      <c r="M15" t="s">
        <v>989</v>
      </c>
    </row>
    <row r="16" spans="1:13">
      <c r="A16">
        <f>Себестоимости!A205</f>
        <v>9413</v>
      </c>
      <c r="B16" t="str">
        <f>Себестоимости!B205</f>
        <v>Визитница</v>
      </c>
      <c r="C16" t="str">
        <f>Себестоимости!L205</f>
        <v>визитка</v>
      </c>
      <c r="D16" t="str">
        <f>Себестоимости!M205</f>
        <v>настольный</v>
      </c>
      <c r="E16" t="str">
        <f>Себестоимости!N205</f>
        <v>подставка</v>
      </c>
      <c r="F16">
        <f>Себестоимости!O205</f>
        <v>6</v>
      </c>
      <c r="G16" t="str">
        <f>Себестоимости!P205</f>
        <v>горизонтальный</v>
      </c>
      <c r="H16">
        <v>0</v>
      </c>
      <c r="I16">
        <f>Себестоимости!G205</f>
        <v>410</v>
      </c>
      <c r="J16">
        <f t="shared" si="0"/>
        <v>0</v>
      </c>
      <c r="K16">
        <f t="shared" si="1"/>
        <v>0</v>
      </c>
      <c r="M16" t="s">
        <v>989</v>
      </c>
    </row>
    <row r="17" spans="1:13">
      <c r="A17">
        <f>Себестоимости!A206</f>
        <v>9414</v>
      </c>
      <c r="B17" t="str">
        <f>Себестоимости!B206</f>
        <v>Визитница</v>
      </c>
      <c r="C17" t="str">
        <f>Себестоимости!L206</f>
        <v>визитка</v>
      </c>
      <c r="D17" t="str">
        <f>Себестоимости!M206</f>
        <v>настольный</v>
      </c>
      <c r="E17" t="str">
        <f>Себестоимости!N206</f>
        <v>подставка</v>
      </c>
      <c r="F17">
        <f>Себестоимости!O206</f>
        <v>6</v>
      </c>
      <c r="G17" t="str">
        <f>Себестоимости!P206</f>
        <v>вертикальный</v>
      </c>
      <c r="H17">
        <v>0</v>
      </c>
      <c r="I17">
        <f>Себестоимости!G206</f>
        <v>395</v>
      </c>
      <c r="J17">
        <f t="shared" si="0"/>
        <v>0</v>
      </c>
      <c r="K17">
        <f t="shared" si="1"/>
        <v>0</v>
      </c>
      <c r="M17" t="s">
        <v>989</v>
      </c>
    </row>
    <row r="18" spans="1:13">
      <c r="A18">
        <f>Себестоимости!A207</f>
        <v>9415</v>
      </c>
      <c r="B18" t="str">
        <f>Себестоимости!B207</f>
        <v>Визитница</v>
      </c>
      <c r="C18" t="str">
        <f>Себестоимости!L207</f>
        <v>визитка</v>
      </c>
      <c r="D18" t="str">
        <f>Себестоимости!M207</f>
        <v>настольный</v>
      </c>
      <c r="E18" t="str">
        <f>Себестоимости!N207</f>
        <v>подставка</v>
      </c>
      <c r="F18">
        <f>Себестоимости!O207</f>
        <v>4</v>
      </c>
      <c r="G18">
        <f>Себестоимости!P207</f>
        <v>0</v>
      </c>
      <c r="H18">
        <v>0</v>
      </c>
      <c r="I18">
        <f>Себестоимости!G207</f>
        <v>220</v>
      </c>
      <c r="J18">
        <f t="shared" si="0"/>
        <v>0</v>
      </c>
      <c r="K18">
        <f t="shared" si="1"/>
        <v>0</v>
      </c>
      <c r="M18" t="s">
        <v>989</v>
      </c>
    </row>
    <row r="19" spans="1:13">
      <c r="A19">
        <f>Себестоимости!A208</f>
        <v>9416</v>
      </c>
      <c r="B19" t="str">
        <f>Себестоимости!B208</f>
        <v>Визитница</v>
      </c>
      <c r="C19" t="str">
        <f>Себестоимости!L208</f>
        <v>визитка</v>
      </c>
      <c r="D19" t="str">
        <f>Себестоимости!M208</f>
        <v>настенный</v>
      </c>
      <c r="E19" t="str">
        <f>Себестоимости!N208</f>
        <v>подставка</v>
      </c>
      <c r="F19">
        <f>Себестоимости!O208</f>
        <v>1</v>
      </c>
      <c r="G19" t="str">
        <f>Себестоимости!P208</f>
        <v>горизонтальный</v>
      </c>
      <c r="H19">
        <v>0</v>
      </c>
      <c r="I19">
        <f>Себестоимости!G208</f>
        <v>80</v>
      </c>
      <c r="J19">
        <f t="shared" si="0"/>
        <v>0</v>
      </c>
      <c r="K19">
        <f t="shared" si="1"/>
        <v>0</v>
      </c>
      <c r="M19" t="s">
        <v>989</v>
      </c>
    </row>
    <row r="20" spans="1:13">
      <c r="A20">
        <f>Себестоимости!A209</f>
        <v>9417</v>
      </c>
      <c r="B20" t="str">
        <f>Себестоимости!B209</f>
        <v>Визитница</v>
      </c>
      <c r="C20" t="str">
        <f>Себестоимости!L209</f>
        <v>визитка</v>
      </c>
      <c r="D20" t="str">
        <f>Себестоимости!M209</f>
        <v>настольный</v>
      </c>
      <c r="E20" t="str">
        <f>Себестоимости!N209</f>
        <v>подставка</v>
      </c>
      <c r="F20">
        <f>Себестоимости!O209</f>
        <v>1</v>
      </c>
      <c r="G20" t="str">
        <f>Себестоимости!P209</f>
        <v>горизонтальный</v>
      </c>
      <c r="H20">
        <v>0</v>
      </c>
      <c r="I20">
        <f>Себестоимости!G209</f>
        <v>100</v>
      </c>
      <c r="J20">
        <f t="shared" si="0"/>
        <v>0</v>
      </c>
      <c r="K20">
        <f t="shared" si="1"/>
        <v>0</v>
      </c>
      <c r="M20" t="s">
        <v>989</v>
      </c>
    </row>
    <row r="21" spans="1:13">
      <c r="A21">
        <f>Себестоимости!A210</f>
        <v>9418</v>
      </c>
      <c r="B21" t="str">
        <f>Себестоимости!B210</f>
        <v>Визитница</v>
      </c>
      <c r="C21" t="str">
        <f>Себестоимости!L210</f>
        <v>визитка</v>
      </c>
      <c r="D21" t="str">
        <f>Себестоимости!M210</f>
        <v>настольный</v>
      </c>
      <c r="E21" t="str">
        <f>Себестоимости!N210</f>
        <v>подставка</v>
      </c>
      <c r="F21">
        <f>Себестоимости!O210</f>
        <v>1</v>
      </c>
      <c r="G21" t="str">
        <f>Себестоимости!P210</f>
        <v>горизонтальный</v>
      </c>
      <c r="H21">
        <v>0</v>
      </c>
      <c r="I21">
        <f>Себестоимости!G210</f>
        <v>100</v>
      </c>
      <c r="J21">
        <f t="shared" si="0"/>
        <v>0</v>
      </c>
      <c r="K21">
        <f t="shared" si="1"/>
        <v>0</v>
      </c>
      <c r="M21" t="s">
        <v>989</v>
      </c>
    </row>
    <row r="22" spans="1:13">
      <c r="A22">
        <f>Себестоимости!A211</f>
        <v>9419</v>
      </c>
      <c r="B22" t="str">
        <f>Себестоимости!B211</f>
        <v>Подставка с боковыми ограничителями</v>
      </c>
      <c r="C22" t="str">
        <f>Себестоимости!L211</f>
        <v>1/3 A4 евро</v>
      </c>
      <c r="D22" t="str">
        <f>Себестоимости!M211</f>
        <v>настольный</v>
      </c>
      <c r="E22" t="str">
        <f>Себестоимости!N211</f>
        <v>подставка</v>
      </c>
      <c r="F22">
        <f>Себестоимости!O211</f>
        <v>1</v>
      </c>
      <c r="G22" t="str">
        <f>Себестоимости!P211</f>
        <v>вертикальный</v>
      </c>
      <c r="H22">
        <v>0</v>
      </c>
      <c r="I22">
        <f>Себестоимости!G211</f>
        <v>125</v>
      </c>
      <c r="J22">
        <f t="shared" si="0"/>
        <v>0</v>
      </c>
      <c r="K22">
        <f t="shared" si="1"/>
        <v>0</v>
      </c>
      <c r="M22" t="s">
        <v>989</v>
      </c>
    </row>
    <row r="23" spans="1:13">
      <c r="A23">
        <f>Себестоимости!A212</f>
        <v>9420</v>
      </c>
      <c r="B23" t="str">
        <f>Себестоимости!B212</f>
        <v>Меню</v>
      </c>
      <c r="C23" t="str">
        <f>Себестоимости!L212</f>
        <v>A5</v>
      </c>
      <c r="D23" t="str">
        <f>Себестоимости!M212</f>
        <v>настольный</v>
      </c>
      <c r="E23" t="str">
        <f>Себестоимости!N212</f>
        <v>подставка</v>
      </c>
      <c r="F23">
        <f>Себестоимости!O212</f>
        <v>1</v>
      </c>
      <c r="G23" t="str">
        <f>Себестоимости!P212</f>
        <v>вертикальный</v>
      </c>
      <c r="H23">
        <v>0</v>
      </c>
      <c r="I23">
        <f>Себестоимости!G212</f>
        <v>290</v>
      </c>
      <c r="J23">
        <f t="shared" si="0"/>
        <v>0</v>
      </c>
      <c r="K23">
        <f t="shared" si="1"/>
        <v>0</v>
      </c>
      <c r="M23" t="s">
        <v>989</v>
      </c>
    </row>
    <row r="24" spans="1:13">
      <c r="A24">
        <f>Себестоимости!A213</f>
        <v>9421</v>
      </c>
      <c r="B24" t="str">
        <f>Себестоимости!B213</f>
        <v>Карман плоский горизон. А5</v>
      </c>
      <c r="C24" t="str">
        <f>Себестоимости!L213</f>
        <v>A5</v>
      </c>
      <c r="D24" t="str">
        <f>Себестоимости!M213</f>
        <v>настенный</v>
      </c>
      <c r="E24" t="str">
        <f>Себестоимости!N213</f>
        <v>1 лист</v>
      </c>
      <c r="F24">
        <f>Себестоимости!O213</f>
        <v>1</v>
      </c>
      <c r="G24" t="str">
        <f>Себестоимости!P213</f>
        <v>горизонтальный</v>
      </c>
      <c r="H24">
        <v>0</v>
      </c>
      <c r="I24">
        <f>Себестоимости!G213</f>
        <v>130</v>
      </c>
      <c r="J24">
        <f t="shared" si="0"/>
        <v>0</v>
      </c>
      <c r="K24">
        <f t="shared" si="1"/>
        <v>0</v>
      </c>
      <c r="M24" t="s">
        <v>989</v>
      </c>
    </row>
    <row r="25" spans="1:13">
      <c r="A25">
        <f>Себестоимости!A214</f>
        <v>9422</v>
      </c>
      <c r="B25" t="str">
        <f>Себестоимости!B214</f>
        <v>Карман плоский горизон.А4</v>
      </c>
      <c r="C25" t="str">
        <f>Себестоимости!L214</f>
        <v>A4</v>
      </c>
      <c r="D25" t="str">
        <f>Себестоимости!M214</f>
        <v>настенный</v>
      </c>
      <c r="E25" t="str">
        <f>Себестоимости!N214</f>
        <v>1 лист</v>
      </c>
      <c r="F25">
        <f>Себестоимости!O214</f>
        <v>1</v>
      </c>
      <c r="G25" t="str">
        <f>Себестоимости!P214</f>
        <v>горизонтальный</v>
      </c>
      <c r="H25">
        <v>0</v>
      </c>
      <c r="I25">
        <f>Себестоимости!G214</f>
        <v>240</v>
      </c>
      <c r="J25">
        <f t="shared" si="0"/>
        <v>0</v>
      </c>
      <c r="K25">
        <f t="shared" si="1"/>
        <v>0</v>
      </c>
      <c r="M25" t="s">
        <v>989</v>
      </c>
    </row>
    <row r="26" spans="1:13">
      <c r="A26">
        <f>Себестоимости!A215</f>
        <v>9423</v>
      </c>
      <c r="B26" t="str">
        <f>Себестоимости!B215</f>
        <v xml:space="preserve">Карман плоский вертикал. А3 </v>
      </c>
      <c r="C26" t="str">
        <f>Себестоимости!L215</f>
        <v>A3</v>
      </c>
      <c r="D26" t="str">
        <f>Себестоимости!M215</f>
        <v>настенный</v>
      </c>
      <c r="E26" t="str">
        <f>Себестоимости!N215</f>
        <v>1 лист</v>
      </c>
      <c r="F26">
        <f>Себестоимости!O215</f>
        <v>1</v>
      </c>
      <c r="G26" t="str">
        <f>Себестоимости!P215</f>
        <v>вертикальный</v>
      </c>
      <c r="H26">
        <v>0</v>
      </c>
      <c r="I26">
        <f>Себестоимости!G215</f>
        <v>540</v>
      </c>
      <c r="J26">
        <f t="shared" si="0"/>
        <v>0</v>
      </c>
      <c r="K26">
        <f t="shared" si="1"/>
        <v>0</v>
      </c>
      <c r="M26" t="s">
        <v>989</v>
      </c>
    </row>
    <row r="27" spans="1:13">
      <c r="A27">
        <f>Себестоимости!A216</f>
        <v>9424</v>
      </c>
      <c r="B27" t="str">
        <f>Себестоимости!B216</f>
        <v>Карман плоский горизон.А3</v>
      </c>
      <c r="C27" t="str">
        <f>Себестоимости!L216</f>
        <v>A3</v>
      </c>
      <c r="D27" t="str">
        <f>Себестоимости!M216</f>
        <v>настенный</v>
      </c>
      <c r="E27" t="str">
        <f>Себестоимости!N216</f>
        <v>1 лист</v>
      </c>
      <c r="F27">
        <f>Себестоимости!O216</f>
        <v>1</v>
      </c>
      <c r="G27" t="str">
        <f>Себестоимости!P216</f>
        <v>горизонтальный</v>
      </c>
      <c r="H27">
        <v>0</v>
      </c>
      <c r="I27">
        <f>Себестоимости!G216</f>
        <v>570</v>
      </c>
      <c r="J27">
        <f t="shared" si="0"/>
        <v>0</v>
      </c>
      <c r="K27">
        <f t="shared" si="1"/>
        <v>0</v>
      </c>
      <c r="M27" t="s">
        <v>989</v>
      </c>
    </row>
    <row r="28" spans="1:13">
      <c r="A28">
        <f>Себестоимости!A217</f>
        <v>9425</v>
      </c>
      <c r="B28" t="str">
        <f>Себестоимости!B217</f>
        <v>Карман накопитель настенный А4</v>
      </c>
      <c r="C28" t="str">
        <f>Себестоимости!L217</f>
        <v>A4</v>
      </c>
      <c r="D28" t="str">
        <f>Себестоимости!M217</f>
        <v>настенный</v>
      </c>
      <c r="E28" t="str">
        <f>Себестоимости!N217</f>
        <v>объёмная</v>
      </c>
      <c r="F28">
        <f>Себестоимости!O217</f>
        <v>1</v>
      </c>
      <c r="G28" t="str">
        <f>Себестоимости!P217</f>
        <v>вертикальный</v>
      </c>
      <c r="H28">
        <v>0</v>
      </c>
      <c r="I28">
        <f>Себестоимости!G217</f>
        <v>260</v>
      </c>
      <c r="J28">
        <f t="shared" ref="J28:J33" si="2">H28*I28</f>
        <v>0</v>
      </c>
      <c r="K28">
        <f t="shared" ref="K28:K33" si="3">IF(D28="настенный",J28,0)</f>
        <v>0</v>
      </c>
      <c r="M28" t="s">
        <v>989</v>
      </c>
    </row>
    <row r="29" spans="1:13">
      <c r="A29">
        <f>Себестоимости!A218</f>
        <v>9426</v>
      </c>
      <c r="B29" t="str">
        <f>Себестоимости!B218</f>
        <v>Карман накопитель Евро</v>
      </c>
      <c r="C29" t="str">
        <f>Себестоимости!L218</f>
        <v>1/3 A4 евро</v>
      </c>
      <c r="D29" t="str">
        <f>Себестоимости!M218</f>
        <v>настенный</v>
      </c>
      <c r="E29" t="str">
        <f>Себестоимости!N218</f>
        <v>объёмная</v>
      </c>
      <c r="F29">
        <f>Себестоимости!O218</f>
        <v>1</v>
      </c>
      <c r="G29" t="str">
        <f>Себестоимости!P218</f>
        <v>вертикальный</v>
      </c>
      <c r="H29">
        <v>0</v>
      </c>
      <c r="I29">
        <f>Себестоимости!G218</f>
        <v>175</v>
      </c>
      <c r="J29">
        <f t="shared" si="2"/>
        <v>0</v>
      </c>
      <c r="K29">
        <f t="shared" si="3"/>
        <v>0</v>
      </c>
      <c r="M29" t="s">
        <v>989</v>
      </c>
    </row>
    <row r="30" spans="1:13">
      <c r="A30">
        <f>Себестоимости!A219</f>
        <v>9427</v>
      </c>
      <c r="B30" t="str">
        <f>Себестоимости!B219</f>
        <v>Карман накопитель А5</v>
      </c>
      <c r="C30" t="str">
        <f>Себестоимости!L219</f>
        <v>A5</v>
      </c>
      <c r="D30" t="str">
        <f>Себестоимости!M219</f>
        <v>настенный</v>
      </c>
      <c r="E30" t="str">
        <f>Себестоимости!N219</f>
        <v>объёмная</v>
      </c>
      <c r="F30">
        <f>Себестоимости!O219</f>
        <v>1</v>
      </c>
      <c r="G30" t="str">
        <f>Себестоимости!P219</f>
        <v>вертикальный</v>
      </c>
      <c r="H30">
        <v>0</v>
      </c>
      <c r="I30">
        <f>Себестоимости!G219</f>
        <v>215</v>
      </c>
      <c r="J30">
        <f t="shared" si="2"/>
        <v>0</v>
      </c>
      <c r="K30">
        <f t="shared" si="3"/>
        <v>0</v>
      </c>
      <c r="M30" t="s">
        <v>989</v>
      </c>
    </row>
    <row r="31" spans="1:13">
      <c r="A31">
        <f>Себестоимости!A220</f>
        <v>9428</v>
      </c>
      <c r="B31" t="str">
        <f>Себестоимости!B220</f>
        <v>Визитница</v>
      </c>
      <c r="C31" t="str">
        <f>Себестоимости!L220</f>
        <v>визитка</v>
      </c>
      <c r="D31" t="str">
        <f>Себестоимости!M220</f>
        <v>настольный</v>
      </c>
      <c r="E31" t="str">
        <f>Себестоимости!N220</f>
        <v>подставка</v>
      </c>
      <c r="F31">
        <f>Себестоимости!O220</f>
        <v>4</v>
      </c>
      <c r="G31" t="str">
        <f>Себестоимости!P220</f>
        <v>горизонтальный</v>
      </c>
      <c r="H31">
        <v>0</v>
      </c>
      <c r="I31">
        <f>Себестоимости!G220</f>
        <v>235</v>
      </c>
      <c r="J31">
        <f t="shared" si="2"/>
        <v>0</v>
      </c>
      <c r="K31">
        <f t="shared" si="3"/>
        <v>0</v>
      </c>
      <c r="M31" t="s">
        <v>989</v>
      </c>
    </row>
    <row r="32" spans="1:13">
      <c r="A32">
        <f>Себестоимости!A221</f>
        <v>9429</v>
      </c>
      <c r="B32" t="str">
        <f>Себестоимости!B221</f>
        <v>Карман плоский вертикальный. А5</v>
      </c>
      <c r="C32" t="str">
        <f>Себестоимости!L221</f>
        <v>A5</v>
      </c>
      <c r="D32" t="str">
        <f>Себестоимости!M221</f>
        <v>настенный</v>
      </c>
      <c r="E32" t="str">
        <f>Себестоимости!N221</f>
        <v>1 лист</v>
      </c>
      <c r="F32">
        <f>Себестоимости!O221</f>
        <v>1</v>
      </c>
      <c r="G32" t="str">
        <f>Себестоимости!P221</f>
        <v>вертикальный</v>
      </c>
      <c r="H32">
        <v>0</v>
      </c>
      <c r="I32">
        <f>Себестоимости!G221</f>
        <v>120</v>
      </c>
      <c r="J32">
        <f t="shared" si="2"/>
        <v>0</v>
      </c>
      <c r="K32">
        <f t="shared" si="3"/>
        <v>0</v>
      </c>
      <c r="M32" t="s">
        <v>989</v>
      </c>
    </row>
    <row r="33" spans="1:13">
      <c r="A33">
        <f>Себестоимости!A222</f>
        <v>9500</v>
      </c>
      <c r="B33" t="str">
        <f>Себестоимости!B222</f>
        <v>Ножка для воблера</v>
      </c>
      <c r="H33">
        <v>0</v>
      </c>
      <c r="I33">
        <f>Себестоимости!G222</f>
        <v>1.6</v>
      </c>
      <c r="J33">
        <f t="shared" si="2"/>
        <v>0</v>
      </c>
      <c r="K33">
        <f t="shared" si="3"/>
        <v>0</v>
      </c>
      <c r="M33" t="s">
        <v>989</v>
      </c>
    </row>
    <row r="34" spans="1:13">
      <c r="A34">
        <f>Себестоимости!A223</f>
        <v>9800</v>
      </c>
      <c r="B34" t="str">
        <f>Себестоимости!B223</f>
        <v>Рамка фото</v>
      </c>
      <c r="C34" t="str">
        <f>Себестоимости!L223</f>
        <v>А4</v>
      </c>
      <c r="D34" t="str">
        <f>Себестоимости!M223</f>
        <v>навесной</v>
      </c>
      <c r="E34" t="str">
        <f>Себестоимости!N223</f>
        <v>фоторамка</v>
      </c>
      <c r="F34">
        <f>Себестоимости!O223</f>
        <v>1</v>
      </c>
      <c r="G34" t="str">
        <f>Себестоимости!P223</f>
        <v>на выбор</v>
      </c>
      <c r="H34">
        <v>0</v>
      </c>
      <c r="I34">
        <f>Себестоимости!G223</f>
        <v>165</v>
      </c>
      <c r="J34">
        <f t="shared" ref="J34:J43" si="4">H34*I34</f>
        <v>0</v>
      </c>
      <c r="K34">
        <f t="shared" ref="K34:K43" si="5">IF(D34="настенный",J34,0)</f>
        <v>0</v>
      </c>
      <c r="M34" t="str">
        <f>Себестоимости!C223</f>
        <v>бежевая</v>
      </c>
    </row>
    <row r="35" spans="1:13">
      <c r="A35">
        <f>Себестоимости!A224</f>
        <v>9801</v>
      </c>
      <c r="B35" t="str">
        <f>Себестоимости!B224</f>
        <v>Рамка фото</v>
      </c>
      <c r="C35" t="str">
        <f>Себестоимости!L224</f>
        <v>А4</v>
      </c>
      <c r="D35" t="str">
        <f>Себестоимости!M224</f>
        <v>навесной</v>
      </c>
      <c r="E35" t="str">
        <f>Себестоимости!N224</f>
        <v>фоторамка</v>
      </c>
      <c r="F35">
        <f>Себестоимости!O224</f>
        <v>1</v>
      </c>
      <c r="G35" t="str">
        <f>Себестоимости!P224</f>
        <v>на выбор</v>
      </c>
      <c r="H35">
        <v>0</v>
      </c>
      <c r="I35">
        <f>Себестоимости!G224</f>
        <v>295</v>
      </c>
      <c r="J35">
        <f t="shared" si="4"/>
        <v>0</v>
      </c>
      <c r="K35">
        <f t="shared" si="5"/>
        <v>0</v>
      </c>
      <c r="M35" t="str">
        <f>Себестоимости!C224</f>
        <v>серебро</v>
      </c>
    </row>
    <row r="36" spans="1:13">
      <c r="A36">
        <f>Себестоимости!A225</f>
        <v>9802</v>
      </c>
      <c r="B36" t="str">
        <f>Себестоимости!B225</f>
        <v>Рамка фото</v>
      </c>
      <c r="C36" t="str">
        <f>Себестоимости!L225</f>
        <v>А4</v>
      </c>
      <c r="D36" t="str">
        <f>Себестоимости!M225</f>
        <v>навесной</v>
      </c>
      <c r="E36" t="str">
        <f>Себестоимости!N225</f>
        <v>фоторамка</v>
      </c>
      <c r="F36">
        <f>Себестоимости!O225</f>
        <v>1</v>
      </c>
      <c r="G36" t="str">
        <f>Себестоимости!P225</f>
        <v>на выбор</v>
      </c>
      <c r="H36">
        <v>0</v>
      </c>
      <c r="I36">
        <f>Себестоимости!G225</f>
        <v>535</v>
      </c>
      <c r="J36">
        <f t="shared" si="4"/>
        <v>0</v>
      </c>
      <c r="K36">
        <f t="shared" si="5"/>
        <v>0</v>
      </c>
      <c r="M36" t="str">
        <f>Себестоимости!C225</f>
        <v>Dorothy золотая</v>
      </c>
    </row>
    <row r="37" spans="1:13">
      <c r="A37">
        <f>Себестоимости!A226</f>
        <v>9803</v>
      </c>
      <c r="B37" t="str">
        <f>Себестоимости!B226</f>
        <v>Рамка фото</v>
      </c>
      <c r="C37" t="str">
        <f>Себестоимости!L226</f>
        <v>А4</v>
      </c>
      <c r="D37" t="str">
        <f>Себестоимости!M226</f>
        <v>навесной</v>
      </c>
      <c r="E37" t="str">
        <f>Себестоимости!N226</f>
        <v>фоторамка</v>
      </c>
      <c r="F37">
        <f>Себестоимости!O226</f>
        <v>1</v>
      </c>
      <c r="G37" t="str">
        <f>Себестоимости!P226</f>
        <v>на выбор</v>
      </c>
      <c r="H37">
        <v>0</v>
      </c>
      <c r="I37">
        <f>Себестоимости!G226</f>
        <v>100</v>
      </c>
      <c r="J37">
        <f t="shared" si="4"/>
        <v>0</v>
      </c>
      <c r="K37">
        <f t="shared" si="5"/>
        <v>0</v>
      </c>
      <c r="M37" t="str">
        <f>Себестоимости!C226</f>
        <v>клип</v>
      </c>
    </row>
    <row r="38" spans="1:13">
      <c r="A38">
        <f>Себестоимости!A227</f>
        <v>9804</v>
      </c>
      <c r="B38" t="str">
        <f>Себестоимости!B227</f>
        <v>Рамка фото</v>
      </c>
      <c r="C38" t="str">
        <f>Себестоимости!L227</f>
        <v>А3</v>
      </c>
      <c r="D38" t="str">
        <f>Себестоимости!M227</f>
        <v>навесной</v>
      </c>
      <c r="E38" t="str">
        <f>Себестоимости!N227</f>
        <v>фоторамка</v>
      </c>
      <c r="F38">
        <f>Себестоимости!O227</f>
        <v>1</v>
      </c>
      <c r="G38" t="str">
        <f>Себестоимости!P227</f>
        <v>на выбор</v>
      </c>
      <c r="H38">
        <v>0</v>
      </c>
      <c r="I38">
        <f>Себестоимости!G227</f>
        <v>235</v>
      </c>
      <c r="J38">
        <f t="shared" si="4"/>
        <v>0</v>
      </c>
      <c r="K38">
        <f t="shared" si="5"/>
        <v>0</v>
      </c>
      <c r="M38" t="str">
        <f>Себестоимости!C227</f>
        <v>старое золото</v>
      </c>
    </row>
    <row r="39" spans="1:13">
      <c r="A39">
        <f>Себестоимости!A228</f>
        <v>9805</v>
      </c>
      <c r="B39" t="str">
        <f>Себестоимости!B228</f>
        <v>Рамка фото</v>
      </c>
      <c r="C39" t="str">
        <f>Себестоимости!L228</f>
        <v>А3</v>
      </c>
      <c r="D39" t="str">
        <f>Себестоимости!M228</f>
        <v>навесной</v>
      </c>
      <c r="E39" t="str">
        <f>Себестоимости!N228</f>
        <v>фоторамка</v>
      </c>
      <c r="F39">
        <f>Себестоимости!O228</f>
        <v>1</v>
      </c>
      <c r="G39" t="str">
        <f>Себестоимости!P228</f>
        <v>на выбор</v>
      </c>
      <c r="H39">
        <v>0</v>
      </c>
      <c r="I39">
        <f>Себестоимости!G228</f>
        <v>235</v>
      </c>
      <c r="J39">
        <f t="shared" si="4"/>
        <v>0</v>
      </c>
      <c r="K39">
        <f t="shared" si="5"/>
        <v>0</v>
      </c>
      <c r="M39" t="str">
        <f>Себестоимости!C228</f>
        <v>старое серебро</v>
      </c>
    </row>
    <row r="40" spans="1:13">
      <c r="A40">
        <f>Себестоимости!A229</f>
        <v>9806</v>
      </c>
      <c r="B40" t="str">
        <f>Себестоимости!B229</f>
        <v>Рамка фото</v>
      </c>
      <c r="C40" t="str">
        <f>Себестоимости!L229</f>
        <v>А3</v>
      </c>
      <c r="D40" t="str">
        <f>Себестоимости!M229</f>
        <v>навесной</v>
      </c>
      <c r="E40" t="str">
        <f>Себестоимости!N229</f>
        <v>фоторамка</v>
      </c>
      <c r="F40">
        <f>Себестоимости!O229</f>
        <v>1</v>
      </c>
      <c r="G40" t="str">
        <f>Себестоимости!P229</f>
        <v>на выбор</v>
      </c>
      <c r="H40">
        <v>0</v>
      </c>
      <c r="I40">
        <f>Себестоимости!G229</f>
        <v>465</v>
      </c>
      <c r="J40">
        <f t="shared" si="4"/>
        <v>0</v>
      </c>
      <c r="K40">
        <f t="shared" si="5"/>
        <v>0</v>
      </c>
      <c r="M40" t="str">
        <f>Себестоимости!C229</f>
        <v>серебро</v>
      </c>
    </row>
    <row r="41" spans="1:13">
      <c r="A41">
        <f>Себестоимости!A230</f>
        <v>9807</v>
      </c>
      <c r="B41" t="str">
        <f>Себестоимости!B230</f>
        <v>Рамка фото</v>
      </c>
      <c r="C41" t="str">
        <f>Себестоимости!L230</f>
        <v>А3</v>
      </c>
      <c r="D41" t="str">
        <f>Себестоимости!M230</f>
        <v>навесной</v>
      </c>
      <c r="E41" t="str">
        <f>Себестоимости!N230</f>
        <v>фоторамка</v>
      </c>
      <c r="F41">
        <f>Себестоимости!O230</f>
        <v>1</v>
      </c>
      <c r="G41" t="str">
        <f>Себестоимости!P230</f>
        <v>на выбор</v>
      </c>
      <c r="H41">
        <v>0</v>
      </c>
      <c r="I41">
        <f>Себестоимости!G230</f>
        <v>205</v>
      </c>
      <c r="J41">
        <f t="shared" si="4"/>
        <v>0</v>
      </c>
      <c r="K41">
        <f t="shared" si="5"/>
        <v>0</v>
      </c>
      <c r="M41" t="str">
        <f>Себестоимости!C230</f>
        <v>клип</v>
      </c>
    </row>
    <row r="42" spans="1:13">
      <c r="A42">
        <f>Себестоимости!A231</f>
        <v>9808</v>
      </c>
      <c r="B42" t="str">
        <f>Себестоимости!B231</f>
        <v>Рамка фото</v>
      </c>
      <c r="C42" t="str">
        <f>Себестоимости!L231</f>
        <v>А3</v>
      </c>
      <c r="D42" t="str">
        <f>Себестоимости!M231</f>
        <v>навесной</v>
      </c>
      <c r="E42" t="str">
        <f>Себестоимости!N231</f>
        <v>фоторамка</v>
      </c>
      <c r="F42">
        <f>Себестоимости!O231</f>
        <v>1</v>
      </c>
      <c r="G42" t="str">
        <f>Себестоимости!P231</f>
        <v>на выбор</v>
      </c>
      <c r="H42">
        <v>0</v>
      </c>
      <c r="I42">
        <f>Себестоимости!G231</f>
        <v>755</v>
      </c>
      <c r="J42">
        <f t="shared" si="4"/>
        <v>0</v>
      </c>
      <c r="K42">
        <f t="shared" si="5"/>
        <v>0</v>
      </c>
      <c r="M42" t="str">
        <f>Себестоимости!C231</f>
        <v>Dorothy золотая</v>
      </c>
    </row>
    <row r="43" spans="1:13">
      <c r="A43">
        <f>Себестоимости!A232</f>
        <v>9809</v>
      </c>
      <c r="B43" t="str">
        <f>Себестоимости!B232</f>
        <v>Рамка фото</v>
      </c>
      <c r="C43" t="str">
        <f>Себестоимости!L232</f>
        <v>А5</v>
      </c>
      <c r="D43" t="str">
        <f>Себестоимости!M232</f>
        <v>навесной</v>
      </c>
      <c r="E43" t="str">
        <f>Себестоимости!N232</f>
        <v>фоторамка</v>
      </c>
      <c r="F43">
        <f>Себестоимости!O232</f>
        <v>1</v>
      </c>
      <c r="G43" t="str">
        <f>Себестоимости!P232</f>
        <v>на выбор</v>
      </c>
      <c r="H43">
        <v>0</v>
      </c>
      <c r="I43">
        <f>Себестоимости!G232</f>
        <v>60</v>
      </c>
      <c r="J43">
        <f t="shared" si="4"/>
        <v>0</v>
      </c>
      <c r="K43">
        <f t="shared" si="5"/>
        <v>0</v>
      </c>
      <c r="M43" t="str">
        <f>Себестоимости!C232</f>
        <v>клип</v>
      </c>
    </row>
    <row r="44" spans="1:13">
      <c r="A44">
        <f>Себестоимости!A233</f>
        <v>9810</v>
      </c>
      <c r="B44" t="str">
        <f>Себестоимости!B233</f>
        <v>Рамка фото</v>
      </c>
      <c r="C44" t="str">
        <f>Себестоимости!L233</f>
        <v>А6</v>
      </c>
      <c r="D44" t="str">
        <f>Себестоимости!M233</f>
        <v>навесной</v>
      </c>
      <c r="E44" t="str">
        <f>Себестоимости!N233</f>
        <v>фоторамка</v>
      </c>
      <c r="F44">
        <f>Себестоимости!O233</f>
        <v>1</v>
      </c>
      <c r="G44" t="str">
        <f>Себестоимости!P233</f>
        <v>на выбор</v>
      </c>
      <c r="H44">
        <v>0</v>
      </c>
      <c r="I44">
        <f>Себестоимости!G233</f>
        <v>30</v>
      </c>
      <c r="J44">
        <f>H44*I44</f>
        <v>0</v>
      </c>
      <c r="K44">
        <f>IF(D44="настенный",J44,0)</f>
        <v>0</v>
      </c>
      <c r="M44" t="str">
        <f>Себестоимости!C233</f>
        <v>клип</v>
      </c>
    </row>
    <row r="47" spans="1:13">
      <c r="A47">
        <f>Себестоимости!A234</f>
        <v>11000</v>
      </c>
      <c r="B47" t="str">
        <f>Себестоимости!B234</f>
        <v>Декоративный термометр</v>
      </c>
      <c r="C47" t="str">
        <f>Себестоимости!L234</f>
        <v>4,5*1,5 см</v>
      </c>
      <c r="D47" t="str">
        <f>Себестоимости!M234</f>
        <v>настенный</v>
      </c>
      <c r="E47" t="str">
        <f>Себестоимости!N234</f>
        <v>аксессуар</v>
      </c>
      <c r="F47">
        <f>Себестоимости!O234</f>
        <v>1</v>
      </c>
      <c r="G47" t="str">
        <f>Себестоимости!P234</f>
        <v>на выбор</v>
      </c>
      <c r="H47">
        <v>0</v>
      </c>
      <c r="I47">
        <f>Себестоимости!G234</f>
        <v>20</v>
      </c>
      <c r="J47">
        <f t="shared" ref="J47:J52" si="6">H47*I47</f>
        <v>0</v>
      </c>
      <c r="K47">
        <f t="shared" ref="K47:K52" si="7">IF(D47="настенный",J47,0)</f>
        <v>0</v>
      </c>
    </row>
    <row r="48" spans="1:13">
      <c r="A48">
        <f>Себестоимости!A235</f>
        <v>11001</v>
      </c>
      <c r="B48" t="str">
        <f>Себестоимости!B235</f>
        <v>Заготовка акрилового магнита</v>
      </c>
      <c r="C48" t="str">
        <f>Себестоимости!L235</f>
        <v>6,5*6,5 см.</v>
      </c>
      <c r="D48" t="str">
        <f>Себестоимости!M235</f>
        <v>магнит</v>
      </c>
      <c r="E48" t="str">
        <f>Себестоимости!N235</f>
        <v>аксессуар</v>
      </c>
      <c r="F48">
        <f>Себестоимости!O235</f>
        <v>1</v>
      </c>
      <c r="G48" t="str">
        <f>Себестоимости!P235</f>
        <v>на выбор</v>
      </c>
      <c r="H48">
        <v>0</v>
      </c>
      <c r="I48">
        <f>Себестоимости!G235</f>
        <v>20</v>
      </c>
      <c r="J48">
        <f t="shared" si="6"/>
        <v>0</v>
      </c>
      <c r="K48">
        <f t="shared" si="7"/>
        <v>0</v>
      </c>
      <c r="M48" t="str">
        <f>Себестоимости!C235</f>
        <v>прозрачный</v>
      </c>
    </row>
    <row r="49" spans="1:13">
      <c r="A49">
        <f>Себестоимости!A236</f>
        <v>11002</v>
      </c>
      <c r="B49" t="str">
        <f>Себестоимости!B236</f>
        <v>Заготовка акрилового магнита</v>
      </c>
      <c r="C49" t="str">
        <f>Себестоимости!L236</f>
        <v>5,2*7,2 см.</v>
      </c>
      <c r="D49" t="str">
        <f>Себестоимости!M236</f>
        <v>магнит</v>
      </c>
      <c r="E49" t="str">
        <f>Себестоимости!N236</f>
        <v>аксессуар</v>
      </c>
      <c r="F49">
        <f>Себестоимости!O236</f>
        <v>1</v>
      </c>
      <c r="G49" t="str">
        <f>Себестоимости!P236</f>
        <v>на выбор</v>
      </c>
      <c r="H49">
        <v>0</v>
      </c>
      <c r="I49">
        <f>Себестоимости!G236</f>
        <v>20</v>
      </c>
      <c r="J49">
        <f t="shared" si="6"/>
        <v>0</v>
      </c>
      <c r="K49">
        <f t="shared" si="7"/>
        <v>0</v>
      </c>
      <c r="M49" t="str">
        <f>Себестоимости!C236</f>
        <v>различные цвета</v>
      </c>
    </row>
    <row r="50" spans="1:13">
      <c r="A50">
        <f>Себестоимости!A237</f>
        <v>11003</v>
      </c>
      <c r="B50" t="str">
        <f>Себестоимости!B237</f>
        <v>Заготовка акрилового магнита</v>
      </c>
      <c r="C50" t="str">
        <f>Себестоимости!L237</f>
        <v>10*10 см.</v>
      </c>
      <c r="D50" t="str">
        <f>Себестоимости!M237</f>
        <v>магнит</v>
      </c>
      <c r="E50" t="str">
        <f>Себестоимости!N237</f>
        <v>аксессуар</v>
      </c>
      <c r="F50">
        <f>Себестоимости!O237</f>
        <v>1</v>
      </c>
      <c r="G50" t="str">
        <f>Себестоимости!P237</f>
        <v>на выбор</v>
      </c>
      <c r="H50">
        <v>0</v>
      </c>
      <c r="I50">
        <f>Себестоимости!G237</f>
        <v>50</v>
      </c>
      <c r="J50">
        <f t="shared" si="6"/>
        <v>0</v>
      </c>
      <c r="K50">
        <f t="shared" si="7"/>
        <v>0</v>
      </c>
      <c r="M50" t="str">
        <f>Себестоимости!C237</f>
        <v>прозрачный + золото</v>
      </c>
    </row>
    <row r="51" spans="1:13">
      <c r="A51">
        <f>Себестоимости!A238</f>
        <v>11004</v>
      </c>
      <c r="B51" t="str">
        <f>Себестоимости!B238</f>
        <v>Заготовка акрилового магнита</v>
      </c>
      <c r="C51" t="str">
        <f>Себестоимости!L238</f>
        <v>10*10 см.</v>
      </c>
      <c r="D51" t="str">
        <f>Себестоимости!M238</f>
        <v>магнит</v>
      </c>
      <c r="E51" t="str">
        <f>Себестоимости!N238</f>
        <v>аксессуар</v>
      </c>
      <c r="F51">
        <f>Себестоимости!O238</f>
        <v>1</v>
      </c>
      <c r="G51" t="str">
        <f>Себестоимости!P238</f>
        <v>на выбор</v>
      </c>
      <c r="H51">
        <v>0</v>
      </c>
      <c r="I51">
        <f>Себестоимости!G238</f>
        <v>45</v>
      </c>
      <c r="J51">
        <f t="shared" si="6"/>
        <v>0</v>
      </c>
      <c r="K51">
        <f t="shared" si="7"/>
        <v>0</v>
      </c>
      <c r="M51" t="str">
        <f>Себестоимости!C238</f>
        <v>прозрачный</v>
      </c>
    </row>
    <row r="52" spans="1:13">
      <c r="A52">
        <f>Себестоимости!A239</f>
        <v>11005</v>
      </c>
      <c r="B52" t="str">
        <f>Себестоимости!B239</f>
        <v>Часы на магните</v>
      </c>
      <c r="C52" t="str">
        <f>Себестоимости!L239</f>
        <v>Ø 10 cм.</v>
      </c>
      <c r="D52" t="str">
        <f>Себестоимости!M239</f>
        <v>магнит</v>
      </c>
      <c r="E52" t="str">
        <f>Себестоимости!N239</f>
        <v>аксессуар</v>
      </c>
      <c r="F52">
        <f>Себестоимости!O239</f>
        <v>1</v>
      </c>
      <c r="G52" t="str">
        <f>Себестоимости!P239</f>
        <v>на выбор</v>
      </c>
      <c r="H52">
        <v>0</v>
      </c>
      <c r="I52">
        <f>Себестоимости!G239</f>
        <v>320</v>
      </c>
      <c r="J52">
        <f t="shared" si="6"/>
        <v>0</v>
      </c>
      <c r="K52">
        <f t="shared" si="7"/>
        <v>0</v>
      </c>
      <c r="M52" t="str">
        <f>Себестоимости!C239</f>
        <v>прозрачный</v>
      </c>
    </row>
  </sheetData>
  <autoFilter ref="A2:I44">
    <filterColumn colId="7"/>
  </autoFilter>
  <mergeCells count="1">
    <mergeCell ref="A1:B1"/>
  </mergeCells>
  <hyperlinks>
    <hyperlink ref="A1" location="Новинки!A1" display="обратно в меню"/>
  </hyperlink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dimension ref="A1:P193"/>
  <sheetViews>
    <sheetView workbookViewId="0">
      <selection activeCell="D12" sqref="D12"/>
    </sheetView>
  </sheetViews>
  <sheetFormatPr defaultRowHeight="15"/>
  <cols>
    <col min="1" max="1" width="42" customWidth="1"/>
    <col min="3" max="3" width="12.42578125" customWidth="1"/>
    <col min="4" max="4" width="25.5703125" customWidth="1"/>
    <col min="5" max="5" width="15.85546875" customWidth="1"/>
    <col min="7" max="7" width="25.5703125" customWidth="1"/>
  </cols>
  <sheetData>
    <row r="1" spans="1:11">
      <c r="A1" t="s">
        <v>302</v>
      </c>
      <c r="B1" t="s">
        <v>342</v>
      </c>
      <c r="D1" t="s">
        <v>339</v>
      </c>
    </row>
    <row r="2" spans="1:11">
      <c r="A2" t="s">
        <v>337</v>
      </c>
      <c r="B2">
        <f>Настройки!$K$4*Аксессуры!D2</f>
        <v>16</v>
      </c>
      <c r="D2">
        <v>10</v>
      </c>
    </row>
    <row r="3" spans="1:11">
      <c r="A3" t="s">
        <v>473</v>
      </c>
      <c r="B3">
        <v>0</v>
      </c>
      <c r="C3" s="3"/>
      <c r="K3" t="s">
        <v>963</v>
      </c>
    </row>
    <row r="4" spans="1:11">
      <c r="A4" t="s">
        <v>356</v>
      </c>
      <c r="B4">
        <f>D4*2/F4/100*J4*Настройки!$K$4*C4</f>
        <v>0</v>
      </c>
      <c r="C4">
        <f>IF(A4=Печать!$A$19,1,0)</f>
        <v>0</v>
      </c>
      <c r="D4">
        <f>K4*Новинки!$P$5</f>
        <v>1804.4</v>
      </c>
      <c r="E4" s="3" t="s">
        <v>343</v>
      </c>
      <c r="F4" s="6">
        <v>200</v>
      </c>
      <c r="G4" s="3" t="s">
        <v>284</v>
      </c>
      <c r="H4" t="str">
        <f>Форматы!$K$2</f>
        <v>A4</v>
      </c>
      <c r="I4" s="3" t="s">
        <v>345</v>
      </c>
      <c r="J4">
        <f>IF(Аксессуры!H4=Форматы!$M$13,Форматы!$P$13,IF(Аксессуры!H4=Форматы!$M$14,Форматы!$P$14,IF(Аксессуры!H4=Форматы!$M$15,Форматы!$P$15,IF(Аксессуры!H4=Форматы!$M$16,Форматы!$P$16,IF(Аксессуры!H4=Форматы!$M$17,Форматы!$P$17,IF(Аксессуры!H4=Форматы!$M$18,Форматы!$P$18,0))))))</f>
        <v>35</v>
      </c>
      <c r="K4" s="4">
        <v>17.350000000000001</v>
      </c>
    </row>
    <row r="5" spans="1:11">
      <c r="A5" t="s">
        <v>346</v>
      </c>
      <c r="B5">
        <f>D5*2/F5/100*J5*Настройки!$K$4*C5</f>
        <v>0</v>
      </c>
      <c r="C5">
        <f>IF(A5=Печать!$A$19,1,0)</f>
        <v>0</v>
      </c>
      <c r="D5">
        <f>K5*Новинки!$P$5</f>
        <v>2496</v>
      </c>
      <c r="E5" s="3" t="s">
        <v>343</v>
      </c>
      <c r="F5" s="6">
        <v>150</v>
      </c>
      <c r="G5" s="3" t="s">
        <v>284</v>
      </c>
      <c r="H5" t="str">
        <f>Форматы!$K$2</f>
        <v>A4</v>
      </c>
      <c r="I5" s="3" t="s">
        <v>345</v>
      </c>
      <c r="J5">
        <f>IF(Аксессуры!H5=Форматы!$M$13,Форматы!$P$13,IF(Аксессуры!H5=Форматы!$M$14,Форматы!$P$14,IF(Аксессуры!H5=Форматы!$M$15,Форматы!$P$15,IF(Аксессуры!H5=Форматы!$M$16,Форматы!$P$16,IF(Аксессуры!H5=Форматы!$M$17,Форматы!$P$17,IF(Аксессуры!H5=Форматы!$M$18,Форматы!$P$18,0))))))</f>
        <v>35</v>
      </c>
      <c r="K5" s="4">
        <v>24</v>
      </c>
    </row>
    <row r="6" spans="1:11">
      <c r="A6" t="s">
        <v>357</v>
      </c>
      <c r="B6">
        <f>D6*2/F6/100*J6*Настройки!$K$4*C6</f>
        <v>0</v>
      </c>
      <c r="C6">
        <f>IF(A6=Печать!$A$19,1,0)</f>
        <v>0</v>
      </c>
      <c r="D6">
        <f>K6*Новинки!$P$5</f>
        <v>1927.1200000000001</v>
      </c>
      <c r="E6" s="3" t="s">
        <v>343</v>
      </c>
      <c r="F6" s="6">
        <v>100</v>
      </c>
      <c r="G6" s="3" t="s">
        <v>284</v>
      </c>
      <c r="H6" t="str">
        <f>Форматы!$K$2</f>
        <v>A4</v>
      </c>
      <c r="I6" s="3" t="s">
        <v>345</v>
      </c>
      <c r="J6">
        <f>IF(Аксессуры!H6=Форматы!$M$13,Форматы!$P$13,IF(Аксессуры!H6=Форматы!$M$14,Форматы!$P$14,IF(Аксессуры!H6=Форматы!$M$15,Форматы!$P$15,IF(Аксессуры!H6=Форматы!$M$16,Форматы!$P$16,IF(Аксессуры!H6=Форматы!$M$17,Форматы!$P$17,IF(Аксессуры!H6=Форматы!$M$18,Форматы!$P$18,0))))))</f>
        <v>35</v>
      </c>
      <c r="K6" s="4">
        <v>18.53</v>
      </c>
    </row>
    <row r="7" spans="1:11">
      <c r="A7" t="s">
        <v>347</v>
      </c>
      <c r="B7">
        <f>D7*2/F7/100*J7*Настройки!$K$4*C7</f>
        <v>0</v>
      </c>
      <c r="C7">
        <f>IF(A7=Печать!$A$19,1,0)</f>
        <v>0</v>
      </c>
      <c r="D7">
        <f>K7*Новинки!$P$5</f>
        <v>2981.6800000000003</v>
      </c>
      <c r="E7" s="3" t="s">
        <v>343</v>
      </c>
      <c r="F7" s="6">
        <v>100</v>
      </c>
      <c r="G7" s="3" t="s">
        <v>284</v>
      </c>
      <c r="H7" t="str">
        <f>Форматы!$K$2</f>
        <v>A4</v>
      </c>
      <c r="I7" s="3" t="s">
        <v>345</v>
      </c>
      <c r="J7">
        <f>IF(Аксессуры!H7=Форматы!$M$13,Форматы!$P$13,IF(Аксессуры!H7=Форматы!$M$14,Форматы!$P$14,IF(Аксессуры!H7=Форматы!$M$15,Форматы!$P$15,IF(Аксессуры!H7=Форматы!$M$16,Форматы!$P$16,IF(Аксессуры!H7=Форматы!$M$17,Форматы!$P$17,IF(Аксессуры!H7=Форматы!$M$18,Форматы!$P$18,0))))))</f>
        <v>35</v>
      </c>
      <c r="K7" s="4">
        <v>28.67</v>
      </c>
    </row>
    <row r="8" spans="1:11">
      <c r="A8" t="s">
        <v>974</v>
      </c>
      <c r="B8">
        <f>D8*2/F8/100*J8*Настройки!$K$4*C8</f>
        <v>0</v>
      </c>
      <c r="C8">
        <f>IF(A8=Печать!$A$19,1,0)</f>
        <v>0</v>
      </c>
      <c r="D8">
        <f>K8*Новинки!$P$5</f>
        <v>2104.96</v>
      </c>
      <c r="E8" s="3" t="s">
        <v>343</v>
      </c>
      <c r="F8" s="6">
        <v>100</v>
      </c>
      <c r="G8" s="3" t="s">
        <v>284</v>
      </c>
      <c r="H8" t="str">
        <f>Форматы!$K$2</f>
        <v>A4</v>
      </c>
      <c r="I8" s="3" t="s">
        <v>345</v>
      </c>
      <c r="J8">
        <f>IF(Аксессуры!H8=Форматы!$M$13,Форматы!$P$13,IF(Аксессуры!H8=Форматы!$M$14,Форматы!$P$14,IF(Аксессуры!H8=Форматы!$M$15,Форматы!$P$15,IF(Аксессуры!H8=Форматы!$M$16,Форматы!$P$16,IF(Аксессуры!H8=Форматы!$M$17,Форматы!$P$17,IF(Аксессуры!H8=Форматы!$M$18,Форматы!$P$18,0))))))</f>
        <v>35</v>
      </c>
      <c r="K8" s="4">
        <v>20.239999999999998</v>
      </c>
    </row>
    <row r="9" spans="1:11">
      <c r="A9" t="s">
        <v>358</v>
      </c>
      <c r="B9">
        <f>D9*2/F9/100*J9*Настройки!$K$4*C9</f>
        <v>0</v>
      </c>
      <c r="C9">
        <f>IF(A9=Печать!$A$19,1,0)</f>
        <v>0</v>
      </c>
      <c r="D9">
        <f>K9*Новинки!$P$5</f>
        <v>3013.92</v>
      </c>
      <c r="E9" s="3" t="s">
        <v>343</v>
      </c>
      <c r="F9" s="6">
        <v>100</v>
      </c>
      <c r="G9" s="3" t="s">
        <v>284</v>
      </c>
      <c r="H9" t="str">
        <f>Форматы!$K$2</f>
        <v>A4</v>
      </c>
      <c r="I9" s="3" t="s">
        <v>345</v>
      </c>
      <c r="J9">
        <f>IF(Аксессуры!H9=Форматы!$M$13,Форматы!$P$13,IF(Аксессуры!H9=Форматы!$M$14,Форматы!$P$14,IF(Аксессуры!H9=Форматы!$M$15,Форматы!$P$15,IF(Аксессуры!H9=Форматы!$M$16,Форматы!$P$16,IF(Аксессуры!H9=Форматы!$M$17,Форматы!$P$17,IF(Аксессуры!H9=Форматы!$M$18,Форматы!$P$18,0))))))</f>
        <v>35</v>
      </c>
      <c r="K9" s="4">
        <v>28.98</v>
      </c>
    </row>
    <row r="10" spans="1:11">
      <c r="A10" t="s">
        <v>348</v>
      </c>
      <c r="B10">
        <f>D10*2/F10/100*J10*Настройки!$K$4*C10</f>
        <v>0</v>
      </c>
      <c r="C10">
        <f>IF(A10=Печать!$A$19,1,0)</f>
        <v>0</v>
      </c>
      <c r="D10">
        <f>K10*Новинки!$P$5</f>
        <v>4524</v>
      </c>
      <c r="E10" s="3" t="s">
        <v>343</v>
      </c>
      <c r="F10" s="6">
        <v>100</v>
      </c>
      <c r="G10" s="3" t="s">
        <v>284</v>
      </c>
      <c r="H10" t="str">
        <f>Форматы!$K$2</f>
        <v>A4</v>
      </c>
      <c r="I10" s="3" t="s">
        <v>345</v>
      </c>
      <c r="J10">
        <f>IF(Аксессуры!H10=Форматы!$M$13,Форматы!$P$13,IF(Аксессуры!H10=Форматы!$M$14,Форматы!$P$14,IF(Аксессуры!H10=Форматы!$M$15,Форматы!$P$15,IF(Аксессуры!H10=Форматы!$M$16,Форматы!$P$16,IF(Аксессуры!H10=Форматы!$M$17,Форматы!$P$17,IF(Аксессуры!H10=Форматы!$M$18,Форматы!$P$18,0))))))</f>
        <v>35</v>
      </c>
      <c r="K10" s="4">
        <v>43.5</v>
      </c>
    </row>
    <row r="11" spans="1:11">
      <c r="A11" t="s">
        <v>359</v>
      </c>
      <c r="B11">
        <f>D11*2/F11/100*J11*Настройки!$K$4*C11</f>
        <v>0</v>
      </c>
      <c r="C11">
        <f>IF(A11=Печать!$A$19,1,0)</f>
        <v>0</v>
      </c>
      <c r="D11">
        <f>K11*Новинки!$P$5</f>
        <v>3260.4</v>
      </c>
      <c r="E11" s="3" t="s">
        <v>343</v>
      </c>
      <c r="F11" s="6">
        <v>50</v>
      </c>
      <c r="G11" s="3" t="s">
        <v>284</v>
      </c>
      <c r="H11" t="str">
        <f>Форматы!$K$2</f>
        <v>A4</v>
      </c>
      <c r="I11" s="3" t="s">
        <v>345</v>
      </c>
      <c r="J11">
        <f>IF(Аксессуры!H11=Форматы!$M$13,Форматы!$P$13,IF(Аксессуры!H11=Форматы!$M$14,Форматы!$P$14,IF(Аксессуры!H11=Форматы!$M$15,Форматы!$P$15,IF(Аксессуры!H11=Форматы!$M$16,Форматы!$P$16,IF(Аксессуры!H11=Форматы!$M$17,Форматы!$P$17,IF(Аксессуры!H11=Форматы!$M$18,Форматы!$P$18,0))))))</f>
        <v>35</v>
      </c>
      <c r="K11" s="4">
        <v>31.35</v>
      </c>
    </row>
    <row r="12" spans="1:11">
      <c r="A12" t="s">
        <v>773</v>
      </c>
      <c r="B12">
        <f>D12*2/F12/100*J12*Настройки!$K$4*C12</f>
        <v>0</v>
      </c>
      <c r="C12">
        <f>IF(A12=Печать!$A$19,1,0)</f>
        <v>0</v>
      </c>
      <c r="D12">
        <v>4950</v>
      </c>
      <c r="E12" s="3" t="s">
        <v>343</v>
      </c>
      <c r="F12" s="6">
        <v>100</v>
      </c>
      <c r="G12" s="3" t="s">
        <v>284</v>
      </c>
      <c r="H12" t="str">
        <f>Форматы!$K$2</f>
        <v>A4</v>
      </c>
      <c r="I12" s="3" t="s">
        <v>345</v>
      </c>
      <c r="J12">
        <f>IF(Аксессуры!H12=Форматы!$M$13,Форматы!$P$13,IF(Аксессуры!H12=Форматы!$M$14,Форматы!$P$14,IF(Аксессуры!H12=Форматы!$M$15,Форматы!$P$15,IF(Аксессуры!H12=Форматы!$M$16,Форматы!$P$16,IF(Аксессуры!H12=Форматы!$M$17,Форматы!$P$17,IF(Аксессуры!H12=Форматы!$M$18,Форматы!$P$18,0))))))</f>
        <v>35</v>
      </c>
      <c r="K12" s="4"/>
    </row>
    <row r="13" spans="1:11">
      <c r="A13" t="s">
        <v>772</v>
      </c>
      <c r="B13">
        <f>D13*2/F13/100*J13*Настройки!$K$4*C13</f>
        <v>0</v>
      </c>
      <c r="C13">
        <f>IF(A13=Печать!$A$19,1,0)</f>
        <v>0</v>
      </c>
      <c r="D13">
        <f>K13*Новинки!$P$5</f>
        <v>4004</v>
      </c>
      <c r="E13" s="3" t="s">
        <v>343</v>
      </c>
      <c r="F13" s="6">
        <v>100</v>
      </c>
      <c r="G13" s="3" t="s">
        <v>284</v>
      </c>
      <c r="H13" t="str">
        <f>Форматы!$K$2</f>
        <v>A4</v>
      </c>
      <c r="I13" s="3" t="s">
        <v>345</v>
      </c>
      <c r="J13">
        <f>IF(Аксессуры!H13=Форматы!$M$13,Форматы!$P$13,IF(Аксессуры!H13=Форматы!$M$14,Форматы!$P$14,IF(Аксессуры!H13=Форматы!$M$15,Форматы!$P$15,IF(Аксессуры!H13=Форматы!$M$16,Форматы!$P$16,IF(Аксессуры!H13=Форматы!$M$17,Форматы!$P$17,IF(Аксессуры!H13=Форматы!$M$18,Форматы!$P$18,0))))))</f>
        <v>35</v>
      </c>
      <c r="K13">
        <v>38.5</v>
      </c>
    </row>
    <row r="14" spans="1:11">
      <c r="A14" t="s">
        <v>774</v>
      </c>
      <c r="B14">
        <f>D14*2/F14/100*J14*Настройки!$K$4*C14</f>
        <v>0</v>
      </c>
      <c r="C14">
        <f>IF(A14=Печать!$A$19,1,0)</f>
        <v>0</v>
      </c>
      <c r="D14">
        <v>1891</v>
      </c>
      <c r="E14" s="3" t="s">
        <v>343</v>
      </c>
      <c r="F14" s="6">
        <v>200</v>
      </c>
      <c r="G14" s="3" t="s">
        <v>284</v>
      </c>
      <c r="H14" t="str">
        <f>Форматы!$K$2</f>
        <v>A4</v>
      </c>
      <c r="I14" s="3" t="s">
        <v>345</v>
      </c>
      <c r="J14">
        <f>IF(Аксессуры!H14=Форматы!$M$13,Форматы!$P$13,IF(Аксессуры!H14=Форматы!$M$14,Форматы!$P$14,IF(Аксессуры!H14=Форматы!$M$15,Форматы!$P$15,IF(Аксессуры!H14=Форматы!$M$16,Форматы!$P$16,IF(Аксессуры!H14=Форматы!$M$17,Форматы!$P$17,IF(Аксессуры!H14=Форматы!$M$18,Форматы!$P$18,0))))))</f>
        <v>35</v>
      </c>
    </row>
    <row r="15" spans="1:11">
      <c r="A15" t="s">
        <v>552</v>
      </c>
      <c r="B15">
        <f>D15/F15*J15*Настройки!$K$4*C15</f>
        <v>0</v>
      </c>
      <c r="C15">
        <f>IF(A15=Печать!$A$19,1,0)</f>
        <v>0</v>
      </c>
      <c r="D15">
        <f>K15*Новинки!$P$5</f>
        <v>3744</v>
      </c>
      <c r="E15" s="3" t="s">
        <v>555</v>
      </c>
      <c r="F15" s="6">
        <v>100</v>
      </c>
      <c r="G15" s="3" t="s">
        <v>284</v>
      </c>
      <c r="H15" t="str">
        <f>Форматы!$K$2</f>
        <v>A4</v>
      </c>
      <c r="I15" s="3" t="s">
        <v>556</v>
      </c>
      <c r="J15">
        <f>IF(J4&gt;35,2,1)</f>
        <v>1</v>
      </c>
      <c r="K15">
        <v>36</v>
      </c>
    </row>
    <row r="16" spans="1:11" ht="15.75" thickBot="1">
      <c r="A16" t="s">
        <v>1265</v>
      </c>
      <c r="B16">
        <f>D16/F16*J16*Настройки!$K$4*C16</f>
        <v>0</v>
      </c>
      <c r="C16">
        <f>IF(A16=Печать!$A$19,1,0)</f>
        <v>0</v>
      </c>
      <c r="D16">
        <f>K16*Новинки!$P$5</f>
        <v>42120</v>
      </c>
      <c r="E16" s="3" t="s">
        <v>555</v>
      </c>
      <c r="F16" s="6">
        <v>170</v>
      </c>
      <c r="G16" s="3" t="s">
        <v>284</v>
      </c>
      <c r="H16" t="str">
        <f>Форматы!$K$2</f>
        <v>A4</v>
      </c>
      <c r="I16" s="3" t="s">
        <v>556</v>
      </c>
      <c r="J16">
        <f>IF(J5&gt;35,2,1)</f>
        <v>1</v>
      </c>
      <c r="K16">
        <v>405</v>
      </c>
    </row>
    <row r="17" spans="1:15" ht="16.5" thickTop="1" thickBot="1">
      <c r="A17" s="41" t="s">
        <v>973</v>
      </c>
      <c r="B17" s="41">
        <f>SUM(B3:B16)</f>
        <v>0</v>
      </c>
      <c r="E17" s="3"/>
      <c r="F17" s="6"/>
      <c r="G17" s="3"/>
      <c r="I17" s="3"/>
    </row>
    <row r="18" spans="1:15" ht="15.75" thickTop="1">
      <c r="E18" s="3"/>
      <c r="F18" s="6"/>
      <c r="G18" s="3"/>
      <c r="I18" s="3"/>
    </row>
    <row r="19" spans="1:15">
      <c r="A19" t="s">
        <v>478</v>
      </c>
      <c r="B19">
        <f>2*D19/F19/100*J19*Настройки!$K$4</f>
        <v>16.792533333333335</v>
      </c>
      <c r="D19">
        <f>K19*Новинки!$P$5</f>
        <v>1799.2</v>
      </c>
      <c r="E19" s="3" t="s">
        <v>343</v>
      </c>
      <c r="F19" s="6">
        <v>120</v>
      </c>
      <c r="G19" s="3" t="s">
        <v>284</v>
      </c>
      <c r="H19" t="str">
        <f>Форматы!$K$2</f>
        <v>A4</v>
      </c>
      <c r="I19" s="3" t="s">
        <v>345</v>
      </c>
      <c r="J19">
        <f>IF(Аксессуры!H19=Форматы!$M$13,Форматы!$P$13,IF(Аксессуры!H19=Форматы!$M$14,Форматы!$P$14,IF(Аксессуры!H19=Форматы!$M$15,Форматы!$P$15,IF(Аксессуры!H19=Форматы!$M$16,Форматы!$P$16,IF(Аксессуры!H19=Форматы!$M$17,Форматы!$P$17,IF(Аксессуры!H19=Форматы!$M$18,Форматы!$P$18,0))))))</f>
        <v>35</v>
      </c>
      <c r="K19">
        <v>17.3</v>
      </c>
    </row>
    <row r="20" spans="1:15">
      <c r="A20" t="s">
        <v>479</v>
      </c>
      <c r="B20">
        <f>2*D20/F20/100*J20*Настройки!$K$4</f>
        <v>16.792533333333335</v>
      </c>
      <c r="D20">
        <f>K20*Новинки!$P$5</f>
        <v>1799.2</v>
      </c>
      <c r="E20" s="3" t="s">
        <v>343</v>
      </c>
      <c r="F20" s="6">
        <v>120</v>
      </c>
      <c r="G20" s="3" t="s">
        <v>284</v>
      </c>
      <c r="H20" t="str">
        <f>Форматы!$K$2</f>
        <v>A4</v>
      </c>
      <c r="I20" s="3" t="s">
        <v>345</v>
      </c>
      <c r="J20">
        <f>IF(Аксессуры!H20=Форматы!$M$13,Форматы!$P$13,IF(Аксессуры!H20=Форматы!$M$14,Форматы!$P$14,IF(Аксессуры!H20=Форматы!$M$15,Форматы!$P$15,IF(Аксессуры!H20=Форматы!$M$16,Форматы!$P$16,IF(Аксессуры!H20=Форматы!$M$17,Форматы!$P$17,IF(Аксессуры!H20=Форматы!$M$18,Форматы!$P$18,0))))))</f>
        <v>35</v>
      </c>
      <c r="K20">
        <v>17.3</v>
      </c>
    </row>
    <row r="21" spans="1:15">
      <c r="A21" t="s">
        <v>480</v>
      </c>
      <c r="B21">
        <f>2*D21/F21/100*J21*Настройки!$K$4</f>
        <v>16.792533333333335</v>
      </c>
      <c r="D21">
        <f>K21*Новинки!$P$5</f>
        <v>1799.2</v>
      </c>
      <c r="E21" s="3" t="s">
        <v>343</v>
      </c>
      <c r="F21" s="6">
        <v>120</v>
      </c>
      <c r="G21" s="3" t="s">
        <v>284</v>
      </c>
      <c r="H21" t="str">
        <f>Форматы!$K$2</f>
        <v>A4</v>
      </c>
      <c r="I21" s="3" t="s">
        <v>345</v>
      </c>
      <c r="J21">
        <f>IF(Аксессуры!H21=Форматы!$M$13,Форматы!$P$13,IF(Аксессуры!H21=Форматы!$M$14,Форматы!$P$14,IF(Аксессуры!H21=Форматы!$M$15,Форматы!$P$15,IF(Аксессуры!H21=Форматы!$M$16,Форматы!$P$16,IF(Аксессуры!H21=Форматы!$M$17,Форматы!$P$17,IF(Аксессуры!H21=Форматы!$M$18,Форматы!$P$18,0))))))</f>
        <v>35</v>
      </c>
      <c r="K21">
        <v>17.3</v>
      </c>
    </row>
    <row r="22" spans="1:15">
      <c r="A22" t="s">
        <v>481</v>
      </c>
      <c r="B22">
        <f>2*D22/F22/100*J22*Настройки!$K$4</f>
        <v>16.792533333333335</v>
      </c>
      <c r="D22">
        <f>K22*Новинки!$P$5</f>
        <v>1799.2</v>
      </c>
      <c r="E22" s="3" t="s">
        <v>343</v>
      </c>
      <c r="F22" s="6">
        <v>120</v>
      </c>
      <c r="G22" s="3" t="s">
        <v>284</v>
      </c>
      <c r="H22" t="str">
        <f>Форматы!$K$2</f>
        <v>A4</v>
      </c>
      <c r="I22" s="3" t="s">
        <v>345</v>
      </c>
      <c r="J22">
        <f>IF(Аксессуры!H22=Форматы!$M$13,Форматы!$P$13,IF(Аксессуры!H22=Форматы!$M$14,Форматы!$P$14,IF(Аксессуры!H22=Форматы!$M$15,Форматы!$P$15,IF(Аксессуры!H22=Форматы!$M$16,Форматы!$P$16,IF(Аксессуры!H22=Форматы!$M$17,Форматы!$P$17,IF(Аксессуры!H22=Форматы!$M$18,Форматы!$P$18,0))))))</f>
        <v>35</v>
      </c>
      <c r="K22">
        <v>17.3</v>
      </c>
    </row>
    <row r="23" spans="1:15">
      <c r="A23" t="s">
        <v>482</v>
      </c>
      <c r="B23">
        <f>2*D23/F23/100*J23*Настройки!$K$4</f>
        <v>16.792533333333335</v>
      </c>
      <c r="D23">
        <f>K23*Новинки!$P$5</f>
        <v>1799.2</v>
      </c>
      <c r="E23" s="3" t="s">
        <v>343</v>
      </c>
      <c r="F23" s="6">
        <v>120</v>
      </c>
      <c r="G23" s="3" t="s">
        <v>284</v>
      </c>
      <c r="H23" t="str">
        <f>Форматы!$K$2</f>
        <v>A4</v>
      </c>
      <c r="I23" s="3" t="s">
        <v>345</v>
      </c>
      <c r="J23">
        <f>IF(Аксессуры!H23=Форматы!$M$13,Форматы!$P$13,IF(Аксессуры!H23=Форматы!$M$14,Форматы!$P$14,IF(Аксессуры!H23=Форматы!$M$15,Форматы!$P$15,IF(Аксессуры!H23=Форматы!$M$16,Форматы!$P$16,IF(Аксессуры!H23=Форматы!$M$17,Форматы!$P$17,IF(Аксессуры!H23=Форматы!$M$18,Форматы!$P$18,0))))))</f>
        <v>35</v>
      </c>
      <c r="K23">
        <v>17.3</v>
      </c>
    </row>
    <row r="24" spans="1:15">
      <c r="D24" s="3"/>
      <c r="E24" s="6"/>
      <c r="F24" s="3"/>
      <c r="H24" s="3"/>
    </row>
    <row r="25" spans="1:15">
      <c r="A25" t="s">
        <v>757</v>
      </c>
      <c r="D25" s="3"/>
      <c r="E25" s="6"/>
      <c r="F25" s="3"/>
      <c r="H25" s="3"/>
    </row>
    <row r="26" spans="1:15">
      <c r="A26">
        <f>SUM(C26:O26)*Новинки!P5*Настройки!B6</f>
        <v>1131.52</v>
      </c>
      <c r="B26" t="str">
        <f>Переплёт!A4</f>
        <v>Темно-синяя</v>
      </c>
      <c r="C26">
        <f>(C31*$A$31+C32*$A$32+C33*$A$33+C34*$A$34+C35*$A$35)*(IF(C28&gt;0,1,0))</f>
        <v>0</v>
      </c>
      <c r="D26">
        <f t="shared" ref="D26:O26" si="0">(D31*$A$31+D32*$A$32+D33*$A$33+D34*$A$34+D35*$A$35)*(IF(D28&gt;0,1,0))</f>
        <v>0</v>
      </c>
      <c r="E26">
        <f t="shared" si="0"/>
        <v>0</v>
      </c>
      <c r="F26">
        <f t="shared" si="0"/>
        <v>0</v>
      </c>
      <c r="G26">
        <f t="shared" si="0"/>
        <v>5.44</v>
      </c>
      <c r="H26">
        <f t="shared" si="0"/>
        <v>0</v>
      </c>
      <c r="I26">
        <f t="shared" si="0"/>
        <v>0</v>
      </c>
      <c r="J26">
        <f t="shared" si="0"/>
        <v>0</v>
      </c>
      <c r="K26">
        <f t="shared" si="0"/>
        <v>0</v>
      </c>
      <c r="L26">
        <f t="shared" si="0"/>
        <v>0</v>
      </c>
      <c r="M26">
        <f t="shared" si="0"/>
        <v>0</v>
      </c>
      <c r="N26">
        <f t="shared" si="0"/>
        <v>0</v>
      </c>
      <c r="O26">
        <f t="shared" si="0"/>
        <v>0</v>
      </c>
    </row>
    <row r="27" spans="1:15">
      <c r="E27" s="3"/>
      <c r="F27" s="6"/>
      <c r="G27" s="3"/>
      <c r="I27" s="3"/>
    </row>
    <row r="28" spans="1:15">
      <c r="B28">
        <f>SUM(C28:O28)</f>
        <v>9</v>
      </c>
      <c r="C28">
        <f>IF($B$29=C29,C30,0)</f>
        <v>0</v>
      </c>
      <c r="D28">
        <f t="shared" ref="D28:O28" si="1">IF($B$29=D29,D30,0)</f>
        <v>0</v>
      </c>
      <c r="E28">
        <f t="shared" si="1"/>
        <v>0</v>
      </c>
      <c r="F28">
        <f t="shared" si="1"/>
        <v>0</v>
      </c>
      <c r="G28">
        <f t="shared" si="1"/>
        <v>9</v>
      </c>
      <c r="H28">
        <f t="shared" si="1"/>
        <v>0</v>
      </c>
      <c r="I28">
        <f t="shared" si="1"/>
        <v>0</v>
      </c>
      <c r="J28">
        <f t="shared" si="1"/>
        <v>0</v>
      </c>
      <c r="K28">
        <f t="shared" si="1"/>
        <v>0</v>
      </c>
      <c r="L28">
        <f t="shared" si="1"/>
        <v>0</v>
      </c>
      <c r="M28">
        <f t="shared" si="1"/>
        <v>0</v>
      </c>
      <c r="N28">
        <f t="shared" si="1"/>
        <v>0</v>
      </c>
      <c r="O28">
        <f t="shared" si="1"/>
        <v>0</v>
      </c>
    </row>
    <row r="29" spans="1:15">
      <c r="B29">
        <f>Переплёт!C4</f>
        <v>75</v>
      </c>
      <c r="C29">
        <v>10</v>
      </c>
      <c r="D29">
        <v>25</v>
      </c>
      <c r="E29">
        <v>40</v>
      </c>
      <c r="F29">
        <v>55</v>
      </c>
      <c r="G29">
        <v>75</v>
      </c>
      <c r="H29">
        <v>100</v>
      </c>
      <c r="I29">
        <v>130</v>
      </c>
      <c r="J29">
        <v>160</v>
      </c>
      <c r="K29">
        <v>190</v>
      </c>
      <c r="L29">
        <v>220</v>
      </c>
      <c r="M29">
        <v>280</v>
      </c>
      <c r="N29">
        <v>340</v>
      </c>
      <c r="O29">
        <v>500</v>
      </c>
    </row>
    <row r="30" spans="1:15">
      <c r="C30">
        <v>1</v>
      </c>
      <c r="D30">
        <v>3</v>
      </c>
      <c r="E30">
        <v>5</v>
      </c>
      <c r="F30">
        <v>7</v>
      </c>
      <c r="G30">
        <v>9</v>
      </c>
      <c r="H30">
        <v>12</v>
      </c>
      <c r="I30">
        <v>15</v>
      </c>
      <c r="J30">
        <v>18</v>
      </c>
      <c r="K30">
        <v>21</v>
      </c>
      <c r="L30">
        <v>24</v>
      </c>
      <c r="M30">
        <v>30</v>
      </c>
      <c r="N30">
        <v>36</v>
      </c>
      <c r="O30">
        <v>50</v>
      </c>
    </row>
    <row r="31" spans="1:15">
      <c r="A31">
        <f>IF($B$26=B31,1,0)</f>
        <v>1</v>
      </c>
      <c r="B31" t="s">
        <v>750</v>
      </c>
      <c r="C31">
        <v>0</v>
      </c>
      <c r="D31">
        <v>0</v>
      </c>
      <c r="E31">
        <v>0</v>
      </c>
      <c r="F31">
        <v>0</v>
      </c>
      <c r="G31" s="66">
        <v>5.44</v>
      </c>
      <c r="H31" s="66">
        <v>5.44</v>
      </c>
      <c r="I31" s="66">
        <v>5.61</v>
      </c>
      <c r="J31" s="66">
        <v>5.61</v>
      </c>
      <c r="K31" s="66">
        <v>5.86</v>
      </c>
      <c r="L31">
        <v>0</v>
      </c>
      <c r="M31" s="66">
        <v>6.11</v>
      </c>
      <c r="N31">
        <v>0</v>
      </c>
      <c r="O31">
        <v>0</v>
      </c>
    </row>
    <row r="32" spans="1:15">
      <c r="A32">
        <f>IF($B$26=B32,1,0)</f>
        <v>0</v>
      </c>
      <c r="B32" t="s">
        <v>751</v>
      </c>
      <c r="C32">
        <v>0</v>
      </c>
      <c r="D32">
        <v>0</v>
      </c>
      <c r="E32" s="66">
        <v>100</v>
      </c>
      <c r="F32">
        <v>0</v>
      </c>
      <c r="G32" s="66">
        <v>5.44</v>
      </c>
      <c r="H32" s="66">
        <v>5.44</v>
      </c>
      <c r="I32" s="66">
        <v>5.61</v>
      </c>
      <c r="J32" s="66">
        <v>5.61</v>
      </c>
      <c r="K32" s="66">
        <v>5.86</v>
      </c>
      <c r="L32">
        <v>0</v>
      </c>
      <c r="M32">
        <v>0</v>
      </c>
      <c r="N32">
        <v>0</v>
      </c>
      <c r="O32">
        <v>0</v>
      </c>
    </row>
    <row r="33" spans="1:16">
      <c r="A33">
        <f>IF($B$26=B33,1,0)</f>
        <v>0</v>
      </c>
      <c r="B33" t="s">
        <v>752</v>
      </c>
      <c r="C33">
        <v>0</v>
      </c>
      <c r="D33">
        <v>0</v>
      </c>
      <c r="E33">
        <v>0</v>
      </c>
      <c r="F33">
        <v>0</v>
      </c>
      <c r="G33">
        <v>0</v>
      </c>
      <c r="H33" s="66">
        <v>5.44</v>
      </c>
      <c r="I33">
        <v>0</v>
      </c>
      <c r="J33">
        <v>0</v>
      </c>
      <c r="K33">
        <v>0</v>
      </c>
      <c r="L33">
        <v>0</v>
      </c>
      <c r="M33">
        <v>0</v>
      </c>
      <c r="N33">
        <v>0</v>
      </c>
      <c r="O33">
        <v>0</v>
      </c>
    </row>
    <row r="34" spans="1:16">
      <c r="A34">
        <f>IF($B$26=B34,1,0)</f>
        <v>0</v>
      </c>
      <c r="B34" t="s">
        <v>753</v>
      </c>
      <c r="C34">
        <v>0</v>
      </c>
      <c r="D34">
        <v>0</v>
      </c>
      <c r="E34">
        <v>0</v>
      </c>
      <c r="F34">
        <v>0</v>
      </c>
      <c r="G34" s="66">
        <v>6.12</v>
      </c>
      <c r="H34" s="66">
        <v>6.12</v>
      </c>
      <c r="I34">
        <v>0</v>
      </c>
      <c r="J34">
        <v>0</v>
      </c>
      <c r="K34">
        <v>0</v>
      </c>
      <c r="L34">
        <v>0</v>
      </c>
      <c r="M34">
        <v>0</v>
      </c>
      <c r="N34">
        <v>0</v>
      </c>
      <c r="O34">
        <v>0</v>
      </c>
    </row>
    <row r="35" spans="1:16">
      <c r="A35">
        <f>IF($B$26=B35,1,0)</f>
        <v>0</v>
      </c>
      <c r="B35" t="s">
        <v>754</v>
      </c>
      <c r="C35">
        <v>0</v>
      </c>
      <c r="D35">
        <v>0</v>
      </c>
      <c r="E35">
        <v>0</v>
      </c>
      <c r="F35">
        <v>0</v>
      </c>
      <c r="G35">
        <v>0</v>
      </c>
      <c r="H35">
        <v>0</v>
      </c>
      <c r="I35">
        <v>0</v>
      </c>
      <c r="J35">
        <v>0</v>
      </c>
      <c r="K35">
        <v>0</v>
      </c>
      <c r="L35">
        <v>0</v>
      </c>
      <c r="M35">
        <v>0</v>
      </c>
      <c r="N35">
        <v>0</v>
      </c>
      <c r="O35">
        <v>0</v>
      </c>
    </row>
    <row r="39" spans="1:16">
      <c r="A39" t="s">
        <v>758</v>
      </c>
    </row>
    <row r="40" spans="1:16">
      <c r="B40" t="s">
        <v>759</v>
      </c>
      <c r="C40">
        <v>6</v>
      </c>
      <c r="D40">
        <v>8</v>
      </c>
      <c r="E40">
        <v>10</v>
      </c>
      <c r="F40">
        <v>12</v>
      </c>
      <c r="G40">
        <v>14</v>
      </c>
      <c r="H40">
        <v>16</v>
      </c>
      <c r="I40">
        <v>19</v>
      </c>
      <c r="J40">
        <v>22</v>
      </c>
      <c r="K40">
        <v>25</v>
      </c>
      <c r="L40">
        <v>28</v>
      </c>
      <c r="M40">
        <v>32</v>
      </c>
      <c r="N40">
        <v>38</v>
      </c>
      <c r="O40">
        <v>45</v>
      </c>
      <c r="P40">
        <v>51</v>
      </c>
    </row>
    <row r="41" spans="1:16">
      <c r="B41" t="s">
        <v>760</v>
      </c>
      <c r="C41">
        <v>20</v>
      </c>
      <c r="D41">
        <v>40</v>
      </c>
      <c r="E41">
        <v>55</v>
      </c>
      <c r="F41">
        <v>80</v>
      </c>
      <c r="G41">
        <v>100</v>
      </c>
      <c r="H41">
        <v>120</v>
      </c>
      <c r="I41">
        <v>150</v>
      </c>
      <c r="J41">
        <v>180</v>
      </c>
      <c r="K41">
        <v>200</v>
      </c>
      <c r="L41">
        <v>240</v>
      </c>
      <c r="M41">
        <v>280</v>
      </c>
      <c r="N41">
        <v>340</v>
      </c>
      <c r="O41">
        <v>410</v>
      </c>
      <c r="P41">
        <v>500</v>
      </c>
    </row>
    <row r="44" spans="1:16">
      <c r="A44" t="s">
        <v>761</v>
      </c>
    </row>
    <row r="46" spans="1:16">
      <c r="B46" t="s">
        <v>759</v>
      </c>
      <c r="C46">
        <v>4.8</v>
      </c>
      <c r="D46">
        <v>6.3</v>
      </c>
      <c r="E46">
        <v>7.9</v>
      </c>
      <c r="F46">
        <v>9.5</v>
      </c>
      <c r="G46">
        <v>11</v>
      </c>
      <c r="H46">
        <v>12.7</v>
      </c>
      <c r="I46">
        <v>14.3</v>
      </c>
    </row>
    <row r="47" spans="1:16">
      <c r="B47" t="s">
        <v>760</v>
      </c>
      <c r="C47">
        <v>30</v>
      </c>
      <c r="D47">
        <v>45</v>
      </c>
      <c r="E47">
        <v>60</v>
      </c>
      <c r="F47">
        <v>75</v>
      </c>
      <c r="G47">
        <v>90</v>
      </c>
      <c r="H47">
        <v>105</v>
      </c>
      <c r="I47">
        <v>120</v>
      </c>
    </row>
    <row r="48" spans="1:16">
      <c r="B48" s="222" t="s">
        <v>215</v>
      </c>
      <c r="C48">
        <v>1</v>
      </c>
      <c r="D48">
        <v>1</v>
      </c>
      <c r="E48">
        <v>1</v>
      </c>
      <c r="F48">
        <v>1</v>
      </c>
      <c r="G48">
        <v>1</v>
      </c>
      <c r="H48">
        <v>1</v>
      </c>
      <c r="I48">
        <v>1</v>
      </c>
    </row>
    <row r="49" spans="2:11">
      <c r="B49" s="222" t="s">
        <v>1029</v>
      </c>
      <c r="C49">
        <v>1</v>
      </c>
      <c r="D49">
        <v>1</v>
      </c>
      <c r="E49">
        <v>1</v>
      </c>
      <c r="F49">
        <v>1</v>
      </c>
      <c r="G49">
        <v>1</v>
      </c>
      <c r="H49">
        <v>1</v>
      </c>
      <c r="I49">
        <v>1</v>
      </c>
    </row>
    <row r="50" spans="2:11">
      <c r="B50" s="222" t="s">
        <v>242</v>
      </c>
      <c r="C50">
        <v>1</v>
      </c>
      <c r="D50">
        <v>1</v>
      </c>
      <c r="E50">
        <v>1</v>
      </c>
      <c r="F50">
        <v>1</v>
      </c>
      <c r="G50">
        <v>1</v>
      </c>
      <c r="H50">
        <v>1</v>
      </c>
      <c r="I50">
        <v>1</v>
      </c>
    </row>
    <row r="51" spans="2:11">
      <c r="B51" s="222" t="s">
        <v>243</v>
      </c>
      <c r="C51">
        <v>1</v>
      </c>
      <c r="D51">
        <v>1</v>
      </c>
      <c r="E51">
        <v>1</v>
      </c>
      <c r="F51">
        <v>1</v>
      </c>
      <c r="G51">
        <v>1</v>
      </c>
      <c r="H51">
        <v>1</v>
      </c>
      <c r="I51">
        <v>1</v>
      </c>
    </row>
    <row r="52" spans="2:11">
      <c r="B52" s="222" t="s">
        <v>244</v>
      </c>
      <c r="C52">
        <v>1</v>
      </c>
      <c r="D52">
        <v>1</v>
      </c>
      <c r="E52">
        <v>1</v>
      </c>
      <c r="F52">
        <v>1</v>
      </c>
      <c r="G52">
        <v>1</v>
      </c>
      <c r="H52">
        <v>1</v>
      </c>
      <c r="I52">
        <v>1</v>
      </c>
    </row>
    <row r="53" spans="2:11">
      <c r="B53" s="222" t="s">
        <v>898</v>
      </c>
      <c r="C53">
        <v>1</v>
      </c>
      <c r="D53">
        <v>1</v>
      </c>
      <c r="E53">
        <v>1</v>
      </c>
      <c r="F53">
        <v>1</v>
      </c>
      <c r="G53">
        <v>1</v>
      </c>
      <c r="H53">
        <v>1</v>
      </c>
      <c r="I53">
        <v>1</v>
      </c>
    </row>
    <row r="54" spans="2:11">
      <c r="B54" s="222" t="s">
        <v>245</v>
      </c>
      <c r="C54">
        <v>1</v>
      </c>
      <c r="D54">
        <v>1</v>
      </c>
      <c r="E54">
        <v>1</v>
      </c>
      <c r="F54">
        <v>1</v>
      </c>
      <c r="G54">
        <v>1</v>
      </c>
      <c r="H54">
        <v>1</v>
      </c>
      <c r="I54">
        <v>1</v>
      </c>
    </row>
    <row r="55" spans="2:11">
      <c r="B55" s="222" t="s">
        <v>525</v>
      </c>
      <c r="C55">
        <v>1</v>
      </c>
      <c r="D55">
        <v>1</v>
      </c>
      <c r="E55">
        <v>1</v>
      </c>
      <c r="F55">
        <v>1</v>
      </c>
      <c r="G55">
        <v>1</v>
      </c>
      <c r="H55">
        <v>1</v>
      </c>
      <c r="I55">
        <v>1</v>
      </c>
    </row>
    <row r="57" spans="2:11">
      <c r="B57" s="222" t="s">
        <v>1006</v>
      </c>
      <c r="C57" s="222" t="s">
        <v>1007</v>
      </c>
      <c r="D57" s="222" t="s">
        <v>1008</v>
      </c>
      <c r="E57" s="222" t="s">
        <v>305</v>
      </c>
      <c r="F57" s="222" t="s">
        <v>174</v>
      </c>
      <c r="G57" s="222" t="s">
        <v>1028</v>
      </c>
      <c r="H57" s="222" t="s">
        <v>374</v>
      </c>
      <c r="I57" t="s">
        <v>1031</v>
      </c>
      <c r="J57" t="s">
        <v>1011</v>
      </c>
    </row>
    <row r="58" spans="2:11">
      <c r="B58" s="222" t="s">
        <v>1009</v>
      </c>
      <c r="C58" s="222"/>
      <c r="D58" s="222"/>
      <c r="E58" s="222"/>
      <c r="F58" s="222"/>
      <c r="G58" s="223"/>
      <c r="H58" s="223"/>
      <c r="I58" s="223">
        <f>Печать!A3/Печать!B3</f>
        <v>100</v>
      </c>
      <c r="J58" s="223">
        <f>Печать!B3</f>
        <v>1</v>
      </c>
    </row>
    <row r="59" spans="2:11">
      <c r="B59" s="222">
        <v>4.8</v>
      </c>
      <c r="C59" s="223">
        <v>30</v>
      </c>
      <c r="D59" s="223">
        <v>100</v>
      </c>
      <c r="E59" s="222" t="s">
        <v>215</v>
      </c>
      <c r="F59" s="223">
        <v>4.83</v>
      </c>
      <c r="G59" s="223">
        <f>CEILING(F59*Новинки!$P$5/D59,5)</f>
        <v>10</v>
      </c>
      <c r="H59" s="223">
        <f>IF(C59=Переплёт!$C$9,1,0)*IF(Аксессуры!E59=Переплёт!$A$9,1,0)*G59</f>
        <v>0</v>
      </c>
      <c r="I59" s="223"/>
      <c r="J59" s="223"/>
      <c r="K59" s="223"/>
    </row>
    <row r="60" spans="2:11">
      <c r="B60" s="222">
        <v>4.8</v>
      </c>
      <c r="C60" s="223">
        <v>30</v>
      </c>
      <c r="D60" s="223">
        <v>100</v>
      </c>
      <c r="E60" s="222" t="s">
        <v>245</v>
      </c>
      <c r="F60" s="223">
        <v>5.35</v>
      </c>
      <c r="G60" s="223">
        <f>CEILING(F60*Новинки!$P$5/D60,5)</f>
        <v>10</v>
      </c>
      <c r="H60" s="223">
        <f>IF(C60=Переплёт!$C$9,1,0)*IF(Аксессуры!E60=Переплёт!$A$9,1,0)</f>
        <v>0</v>
      </c>
      <c r="I60" s="223"/>
      <c r="J60" s="223"/>
      <c r="K60" s="223"/>
    </row>
    <row r="61" spans="2:11">
      <c r="B61" s="222">
        <v>4.8</v>
      </c>
      <c r="C61" s="223">
        <v>30</v>
      </c>
      <c r="D61" s="223">
        <v>100</v>
      </c>
      <c r="E61" s="222" t="s">
        <v>1029</v>
      </c>
      <c r="F61" s="223">
        <v>5.8</v>
      </c>
      <c r="G61" s="223">
        <f>CEILING(F61*Новинки!$P$5/D61,5)</f>
        <v>10</v>
      </c>
      <c r="H61" s="223">
        <f>IF(C61=Переплёт!$C$9,1,0)*IF(Аксессуры!E61=Переплёт!$A$9,1,0)</f>
        <v>0</v>
      </c>
      <c r="I61" s="223"/>
      <c r="J61" s="223"/>
      <c r="K61" s="223"/>
    </row>
    <row r="62" spans="2:11">
      <c r="B62" s="222">
        <v>4.8</v>
      </c>
      <c r="C62" s="223">
        <v>30</v>
      </c>
      <c r="D62" s="223">
        <v>100</v>
      </c>
      <c r="E62" s="222" t="s">
        <v>898</v>
      </c>
      <c r="F62" s="223">
        <v>5.8</v>
      </c>
      <c r="G62" s="223">
        <f>CEILING(F62*Новинки!$P$5/D62,5)</f>
        <v>10</v>
      </c>
      <c r="H62" s="223">
        <f>IF(C62=Переплёт!$C$9,1,0)*IF(Аксессуры!E62=Переплёт!$A$9,1,0)</f>
        <v>0</v>
      </c>
      <c r="I62" s="223"/>
      <c r="J62" s="223"/>
      <c r="K62" s="223"/>
    </row>
    <row r="63" spans="2:11">
      <c r="B63" s="222">
        <v>4.8</v>
      </c>
      <c r="C63" s="223">
        <v>30</v>
      </c>
      <c r="D63" s="223">
        <v>100</v>
      </c>
      <c r="E63" s="222" t="s">
        <v>244</v>
      </c>
      <c r="F63" s="223">
        <v>5.35</v>
      </c>
      <c r="G63" s="223">
        <f>CEILING(F63*Новинки!$P$5/D63,5)</f>
        <v>10</v>
      </c>
      <c r="H63" s="223">
        <f>IF(C63=Переплёт!$C$9,1,0)*IF(Аксессуры!E63=Переплёт!$A$9,1,0)</f>
        <v>0</v>
      </c>
      <c r="I63" s="223"/>
      <c r="J63" s="223"/>
      <c r="K63" s="223"/>
    </row>
    <row r="64" spans="2:11">
      <c r="B64" s="222">
        <v>4.8</v>
      </c>
      <c r="C64" s="223">
        <v>30</v>
      </c>
      <c r="D64" s="223">
        <v>100</v>
      </c>
      <c r="E64" s="222" t="s">
        <v>243</v>
      </c>
      <c r="F64" s="223">
        <v>5.35</v>
      </c>
      <c r="G64" s="223">
        <f>CEILING(F64*Новинки!$P$5/D64,5)</f>
        <v>10</v>
      </c>
      <c r="H64" s="223">
        <f>IF(C64=Переплёт!$C$9,1,0)*IF(Аксессуры!E64=Переплёт!$A$9,1,0)</f>
        <v>0</v>
      </c>
      <c r="I64" s="223"/>
      <c r="J64" s="223"/>
      <c r="K64" s="223"/>
    </row>
    <row r="65" spans="2:13">
      <c r="B65" s="222">
        <v>4.8</v>
      </c>
      <c r="C65" s="223">
        <v>30</v>
      </c>
      <c r="D65" s="223">
        <v>100</v>
      </c>
      <c r="E65" s="222" t="s">
        <v>242</v>
      </c>
      <c r="F65" s="223">
        <v>5.35</v>
      </c>
      <c r="G65" s="223">
        <f>CEILING(F65*Новинки!$P$5/D65,5)</f>
        <v>10</v>
      </c>
      <c r="H65" s="223">
        <f>IF(C65=Переплёт!$C$9,1,0)*IF(Аксессуры!E65=Переплёт!$A$9,1,0)</f>
        <v>0</v>
      </c>
      <c r="I65" s="223"/>
      <c r="J65" s="223"/>
      <c r="K65" s="223"/>
      <c r="L65" s="223"/>
      <c r="M65" s="223"/>
    </row>
    <row r="66" spans="2:13">
      <c r="B66" s="222">
        <v>4.8</v>
      </c>
      <c r="C66" s="223">
        <v>30</v>
      </c>
      <c r="D66" s="223">
        <v>100</v>
      </c>
      <c r="E66" s="222" t="s">
        <v>525</v>
      </c>
      <c r="F66" s="223">
        <v>4.83</v>
      </c>
      <c r="G66" s="223">
        <f>CEILING(F66*Новинки!$P$5/D66,5)</f>
        <v>10</v>
      </c>
      <c r="H66" s="223">
        <f>IF(C66=Переплёт!$C$9,1,0)*IF(Аксессуры!E66=Переплёт!$A$9,1,0)</f>
        <v>0</v>
      </c>
      <c r="I66" s="223"/>
      <c r="J66" s="223"/>
      <c r="K66" s="223"/>
      <c r="L66" s="223"/>
      <c r="M66" s="223"/>
    </row>
    <row r="67" spans="2:13">
      <c r="B67" s="222">
        <v>6.4</v>
      </c>
      <c r="C67" s="223">
        <v>45</v>
      </c>
      <c r="D67" s="223">
        <v>100</v>
      </c>
      <c r="E67" s="222" t="s">
        <v>1030</v>
      </c>
      <c r="F67" s="223">
        <v>5.88</v>
      </c>
      <c r="G67" s="223">
        <f>CEILING(F67*Новинки!$P$5/D67,5)</f>
        <v>10</v>
      </c>
      <c r="H67" s="223">
        <f>IF(C67=Переплёт!$C$9,1,0)*IF(Аксессуры!E67=Переплёт!$A$9,1,0)</f>
        <v>0</v>
      </c>
      <c r="I67" s="223"/>
      <c r="J67" s="223"/>
      <c r="K67" s="223"/>
      <c r="L67" s="223"/>
      <c r="M67" s="223"/>
    </row>
    <row r="68" spans="2:13">
      <c r="B68" s="222">
        <v>6.4</v>
      </c>
      <c r="C68" s="223">
        <v>45</v>
      </c>
      <c r="D68" s="223">
        <v>100</v>
      </c>
      <c r="E68" s="222" t="s">
        <v>243</v>
      </c>
      <c r="F68" s="223">
        <v>5.88</v>
      </c>
      <c r="G68" s="223">
        <f>CEILING(F68*Новинки!$P$5/D68,5)</f>
        <v>10</v>
      </c>
      <c r="H68" s="223">
        <f>IF(C68=Переплёт!$C$9,1,0)*IF(Аксессуры!E68=Переплёт!$A$9,1,0)</f>
        <v>0</v>
      </c>
      <c r="I68" s="223"/>
      <c r="J68" s="223"/>
      <c r="K68" s="223"/>
      <c r="L68" s="223"/>
      <c r="M68" s="223"/>
    </row>
    <row r="69" spans="2:13">
      <c r="B69" s="222">
        <v>6.4</v>
      </c>
      <c r="C69" s="223">
        <v>45</v>
      </c>
      <c r="D69" s="223">
        <v>100</v>
      </c>
      <c r="E69" s="222" t="s">
        <v>215</v>
      </c>
      <c r="F69" s="223">
        <v>5.03</v>
      </c>
      <c r="G69" s="223">
        <f>CEILING(F69*Новинки!$P$5/D69,5)</f>
        <v>10</v>
      </c>
      <c r="H69" s="223">
        <f>IF(C69=Переплёт!$C$9,1,0)*IF(Аксессуры!E69=Переплёт!$A$9,1,0)</f>
        <v>0</v>
      </c>
      <c r="I69" s="223"/>
      <c r="J69" s="223"/>
      <c r="K69" s="223"/>
      <c r="L69" s="223"/>
      <c r="M69" s="223"/>
    </row>
    <row r="70" spans="2:13">
      <c r="B70" s="222">
        <v>6.4</v>
      </c>
      <c r="C70" s="223">
        <v>45</v>
      </c>
      <c r="D70" s="223">
        <v>100</v>
      </c>
      <c r="E70" s="222" t="s">
        <v>898</v>
      </c>
      <c r="F70" s="223">
        <v>5.89</v>
      </c>
      <c r="G70" s="223">
        <f>CEILING(F70*Новинки!$P$5/D70,5)</f>
        <v>10</v>
      </c>
      <c r="H70" s="223">
        <f>IF(C70=Переплёт!$C$9,1,0)*IF(Аксессуры!E70=Переплёт!$A$9,1,0)</f>
        <v>0</v>
      </c>
      <c r="I70" s="223"/>
      <c r="J70" s="223"/>
      <c r="K70" s="223"/>
    </row>
    <row r="71" spans="2:13">
      <c r="B71" s="222">
        <v>6.4</v>
      </c>
      <c r="C71" s="223">
        <v>45</v>
      </c>
      <c r="D71" s="223">
        <v>100</v>
      </c>
      <c r="E71" s="222" t="s">
        <v>245</v>
      </c>
      <c r="F71" s="223">
        <v>5.88</v>
      </c>
      <c r="G71" s="223">
        <f>CEILING(F71*Новинки!$P$5/D71,5)</f>
        <v>10</v>
      </c>
      <c r="H71" s="223">
        <f>IF(C71=Переплёт!$C$9,1,0)*IF(Аксессуры!E71=Переплёт!$A$9,1,0)</f>
        <v>0</v>
      </c>
      <c r="I71" s="223"/>
      <c r="J71" s="223"/>
      <c r="K71" s="223"/>
    </row>
    <row r="72" spans="2:13">
      <c r="B72" s="222">
        <v>6.4</v>
      </c>
      <c r="C72" s="223">
        <v>45</v>
      </c>
      <c r="D72" s="223">
        <v>100</v>
      </c>
      <c r="E72" s="222" t="s">
        <v>525</v>
      </c>
      <c r="F72" s="223">
        <v>5.0599999999999996</v>
      </c>
      <c r="G72" s="223">
        <f>CEILING(F72*Новинки!$P$5/D72,5)</f>
        <v>10</v>
      </c>
      <c r="H72" s="223">
        <f>IF(C72=Переплёт!$C$9,1,0)*IF(Аксессуры!E72=Переплёт!$A$9,1,0)</f>
        <v>0</v>
      </c>
      <c r="I72" s="223"/>
      <c r="J72" s="223"/>
      <c r="K72" s="223"/>
    </row>
    <row r="73" spans="2:13">
      <c r="B73" s="222">
        <v>6.4</v>
      </c>
      <c r="C73" s="223">
        <v>45</v>
      </c>
      <c r="D73" s="223">
        <v>100</v>
      </c>
      <c r="E73" s="222" t="s">
        <v>1029</v>
      </c>
      <c r="F73" s="223">
        <v>6.03</v>
      </c>
      <c r="G73" s="223">
        <f>CEILING(F73*Новинки!$P$5/D73,5)</f>
        <v>10</v>
      </c>
      <c r="H73" s="223">
        <f>IF(C73=Переплёт!$C$9,1,0)*IF(Аксессуры!E73=Переплёт!$A$9,1,0)</f>
        <v>0</v>
      </c>
      <c r="I73" s="223"/>
      <c r="J73" s="223"/>
      <c r="K73" s="223"/>
    </row>
    <row r="74" spans="2:13">
      <c r="B74" s="222">
        <v>6.4</v>
      </c>
      <c r="C74" s="223">
        <v>45</v>
      </c>
      <c r="D74" s="223">
        <v>100</v>
      </c>
      <c r="E74" s="222" t="s">
        <v>244</v>
      </c>
      <c r="F74" s="223">
        <v>5.88</v>
      </c>
      <c r="G74" s="223">
        <f>CEILING(F74*Новинки!$P$5/D74,5)</f>
        <v>10</v>
      </c>
      <c r="H74" s="223">
        <f>IF(C74=Переплёт!$C$9,1,0)*IF(Аксессуры!E74=Переплёт!$A$9,1,0)</f>
        <v>0</v>
      </c>
      <c r="I74" s="223"/>
      <c r="J74" s="223"/>
      <c r="K74" s="223"/>
    </row>
    <row r="75" spans="2:13">
      <c r="B75" s="222">
        <v>7.9</v>
      </c>
      <c r="C75" s="223">
        <v>60</v>
      </c>
      <c r="D75" s="223">
        <v>100</v>
      </c>
      <c r="E75" s="222" t="s">
        <v>1030</v>
      </c>
      <c r="F75" s="223">
        <v>7.19</v>
      </c>
      <c r="G75" s="223">
        <f>CEILING(F75*Новинки!$P$5/D75,5)</f>
        <v>10</v>
      </c>
      <c r="H75" s="223">
        <f>IF(C75=Переплёт!$C$9,1,0)*IF(Аксессуры!E75=Переплёт!$A$9,1,0)</f>
        <v>0</v>
      </c>
      <c r="I75" s="223"/>
      <c r="J75" s="223"/>
      <c r="K75" s="223"/>
      <c r="L75" s="223"/>
      <c r="M75" s="223"/>
    </row>
    <row r="76" spans="2:13">
      <c r="B76" s="222">
        <v>7.9</v>
      </c>
      <c r="C76" s="223">
        <v>60</v>
      </c>
      <c r="D76" s="223">
        <v>100</v>
      </c>
      <c r="E76" s="222" t="s">
        <v>244</v>
      </c>
      <c r="F76" s="223">
        <v>6.64</v>
      </c>
      <c r="G76" s="223">
        <f>CEILING(F76*Новинки!$P$5/D76,5)</f>
        <v>10</v>
      </c>
      <c r="H76" s="223">
        <f>IF(C76=Переплёт!$C$9,1,0)*IF(Аксессуры!E76=Переплёт!$A$9,1,0)</f>
        <v>0</v>
      </c>
      <c r="I76" s="223"/>
      <c r="J76" s="223"/>
      <c r="K76" s="223"/>
      <c r="L76" s="223"/>
      <c r="M76" s="223"/>
    </row>
    <row r="77" spans="2:13">
      <c r="B77" s="222">
        <v>7.9</v>
      </c>
      <c r="C77" s="223">
        <v>60</v>
      </c>
      <c r="D77" s="223">
        <v>100</v>
      </c>
      <c r="E77" s="222" t="s">
        <v>215</v>
      </c>
      <c r="F77" s="223">
        <v>5.94</v>
      </c>
      <c r="G77" s="223">
        <f>CEILING(F77*Новинки!$P$5/D77,5)</f>
        <v>10</v>
      </c>
      <c r="H77" s="223">
        <f>IF(C77=Переплёт!$C$9,1,0)*IF(Аксессуры!E77=Переплёт!$A$9,1,0)</f>
        <v>0</v>
      </c>
      <c r="I77" s="223"/>
      <c r="J77" s="223"/>
      <c r="K77" s="223"/>
      <c r="L77" s="223"/>
      <c r="M77" s="223"/>
    </row>
    <row r="78" spans="2:13">
      <c r="B78" s="222">
        <v>7.9</v>
      </c>
      <c r="C78" s="223">
        <v>60</v>
      </c>
      <c r="D78" s="223">
        <v>100</v>
      </c>
      <c r="E78" s="222" t="s">
        <v>1029</v>
      </c>
      <c r="F78" s="223">
        <v>6.94</v>
      </c>
      <c r="G78" s="223">
        <f>CEILING(F78*Новинки!$P$5/D78,5)</f>
        <v>10</v>
      </c>
      <c r="H78" s="223">
        <f>IF(C78=Переплёт!$C$9,1,0)*IF(Аксессуры!E78=Переплёт!$A$9,1,0)</f>
        <v>0</v>
      </c>
      <c r="I78" s="223"/>
      <c r="J78" s="223"/>
      <c r="K78" s="223"/>
      <c r="L78" s="223"/>
      <c r="M78" s="223"/>
    </row>
    <row r="79" spans="2:13">
      <c r="B79" s="222">
        <v>7.9</v>
      </c>
      <c r="C79" s="223">
        <v>60</v>
      </c>
      <c r="D79" s="223">
        <v>100</v>
      </c>
      <c r="E79" s="222" t="s">
        <v>898</v>
      </c>
      <c r="F79" s="223">
        <v>7.18</v>
      </c>
      <c r="G79" s="223">
        <f>CEILING(F79*Новинки!$P$5/D79,5)</f>
        <v>10</v>
      </c>
      <c r="H79" s="223">
        <f>IF(C79=Переплёт!$C$9,1,0)*IF(Аксессуры!E79=Переплёт!$A$9,1,0)</f>
        <v>0</v>
      </c>
      <c r="I79" s="223"/>
      <c r="J79" s="223"/>
      <c r="K79" s="223"/>
      <c r="L79" s="223"/>
      <c r="M79" s="223"/>
    </row>
    <row r="80" spans="2:13">
      <c r="B80" s="222">
        <v>7.9</v>
      </c>
      <c r="C80" s="223">
        <v>60</v>
      </c>
      <c r="D80" s="223">
        <v>100</v>
      </c>
      <c r="E80" s="222" t="s">
        <v>245</v>
      </c>
      <c r="F80" s="223">
        <v>6.19</v>
      </c>
      <c r="G80" s="223">
        <f>CEILING(F80*Новинки!$P$5/D80,5)</f>
        <v>10</v>
      </c>
      <c r="H80" s="223">
        <f>IF(C80=Переплёт!$C$9,1,0)*IF(Аксессуры!E80=Переплёт!$A$9,1,0)</f>
        <v>0</v>
      </c>
      <c r="I80" s="223"/>
      <c r="J80" s="223"/>
      <c r="K80" s="223"/>
      <c r="L80" s="223"/>
      <c r="M80" s="223"/>
    </row>
    <row r="81" spans="2:13">
      <c r="B81" s="222">
        <v>7.9</v>
      </c>
      <c r="C81" s="223">
        <v>60</v>
      </c>
      <c r="D81" s="223">
        <v>100</v>
      </c>
      <c r="E81" s="222" t="s">
        <v>525</v>
      </c>
      <c r="F81" s="223">
        <v>5.87</v>
      </c>
      <c r="G81" s="223">
        <f>CEILING(F81*Новинки!$P$5/D81,5)</f>
        <v>10</v>
      </c>
      <c r="H81" s="223">
        <f>IF(C81=Переплёт!$C$9,1,0)*IF(Аксессуры!E81=Переплёт!$A$9,1,0)</f>
        <v>0</v>
      </c>
      <c r="I81" s="223"/>
      <c r="J81" s="223"/>
      <c r="K81" s="223"/>
      <c r="L81" s="223"/>
      <c r="M81" s="223"/>
    </row>
    <row r="82" spans="2:13">
      <c r="B82" s="222">
        <v>7.9</v>
      </c>
      <c r="C82" s="223">
        <v>60</v>
      </c>
      <c r="D82" s="223">
        <v>100</v>
      </c>
      <c r="E82" s="222" t="s">
        <v>243</v>
      </c>
      <c r="F82" s="223">
        <v>6.44</v>
      </c>
      <c r="G82" s="223">
        <f>CEILING(F82*Новинки!$P$5/D82,5)</f>
        <v>10</v>
      </c>
      <c r="H82" s="223">
        <f>IF(C82=Переплёт!$C$9,1,0)*IF(Аксессуры!E82=Переплёт!$A$9,1,0)</f>
        <v>0</v>
      </c>
      <c r="I82" s="223"/>
      <c r="J82" s="223"/>
      <c r="K82" s="223"/>
      <c r="L82" s="223"/>
      <c r="M82" s="223"/>
    </row>
    <row r="83" spans="2:13">
      <c r="B83" s="222">
        <v>9.5</v>
      </c>
      <c r="C83" s="223">
        <v>75</v>
      </c>
      <c r="D83" s="223">
        <v>100</v>
      </c>
      <c r="E83" s="222" t="s">
        <v>1030</v>
      </c>
      <c r="F83" s="223">
        <v>8.15</v>
      </c>
      <c r="G83" s="223">
        <f>CEILING(F83*Новинки!$P$5/D83,5)</f>
        <v>10</v>
      </c>
      <c r="H83" s="223">
        <f>IF(C83=Переплёт!$C$9,1,0)*IF(Аксессуры!E83=Переплёт!$A$9,1,0)</f>
        <v>0</v>
      </c>
      <c r="I83" s="223"/>
      <c r="J83" s="223"/>
      <c r="K83" s="223"/>
      <c r="L83" s="223"/>
      <c r="M83" s="223"/>
    </row>
    <row r="84" spans="2:13">
      <c r="B84" s="222">
        <v>9.5</v>
      </c>
      <c r="C84" s="223">
        <v>75</v>
      </c>
      <c r="D84" s="223">
        <v>100</v>
      </c>
      <c r="E84" s="222" t="s">
        <v>215</v>
      </c>
      <c r="F84" s="223">
        <v>6.68</v>
      </c>
      <c r="G84" s="223">
        <f>CEILING(F84*Новинки!$P$5/D84,5)</f>
        <v>10</v>
      </c>
      <c r="H84" s="223">
        <f>IF(C84=Переплёт!$C$9,1,0)*IF(Аксессуры!E84=Переплёт!$A$9,1,0)</f>
        <v>0</v>
      </c>
      <c r="I84" s="223"/>
      <c r="J84" s="223"/>
      <c r="K84" s="223"/>
      <c r="L84" s="223"/>
      <c r="M84" s="223"/>
    </row>
    <row r="85" spans="2:13">
      <c r="B85" s="222">
        <v>9.5</v>
      </c>
      <c r="C85" s="223">
        <v>75</v>
      </c>
      <c r="D85" s="223">
        <v>100</v>
      </c>
      <c r="E85" s="222" t="s">
        <v>1029</v>
      </c>
      <c r="F85" s="223">
        <v>8.49</v>
      </c>
      <c r="G85" s="223">
        <f>CEILING(F85*Новинки!$P$5/D85,5)</f>
        <v>10</v>
      </c>
      <c r="H85" s="223">
        <f>IF(C85=Переплёт!$C$9,1,0)*IF(Аксессуры!E85=Переплёт!$A$9,1,0)</f>
        <v>0</v>
      </c>
      <c r="I85" s="223"/>
      <c r="J85" s="223"/>
      <c r="K85" s="223"/>
      <c r="L85" s="223"/>
      <c r="M85" s="223"/>
    </row>
    <row r="86" spans="2:13">
      <c r="B86" s="222">
        <v>9.5</v>
      </c>
      <c r="C86" s="223">
        <v>75</v>
      </c>
      <c r="D86" s="223">
        <v>100</v>
      </c>
      <c r="E86" s="222" t="s">
        <v>898</v>
      </c>
      <c r="F86" s="223">
        <v>8.17</v>
      </c>
      <c r="G86" s="223">
        <f>CEILING(F86*Новинки!$P$5/D86,5)</f>
        <v>10</v>
      </c>
      <c r="H86" s="223">
        <f>IF(C86=Переплёт!$C$9,1,0)*IF(Аксессуры!E86=Переплёт!$A$9,1,0)</f>
        <v>0</v>
      </c>
      <c r="I86" s="223"/>
      <c r="J86" s="223"/>
      <c r="K86" s="223"/>
      <c r="L86" s="223"/>
      <c r="M86" s="223"/>
    </row>
    <row r="87" spans="2:13">
      <c r="B87" s="222">
        <v>9.5</v>
      </c>
      <c r="C87" s="223">
        <v>75</v>
      </c>
      <c r="D87" s="223">
        <v>100</v>
      </c>
      <c r="E87" s="222" t="s">
        <v>245</v>
      </c>
      <c r="F87" s="223">
        <v>6.92</v>
      </c>
      <c r="G87" s="223">
        <f>CEILING(F87*Новинки!$P$5/D87,5)</f>
        <v>10</v>
      </c>
      <c r="H87" s="223">
        <f>IF(C87=Переплёт!$C$9,1,0)*IF(Аксессуры!E87=Переплёт!$A$9,1,0)</f>
        <v>0</v>
      </c>
      <c r="I87" s="223"/>
      <c r="J87" s="223"/>
      <c r="K87" s="223"/>
      <c r="L87" s="223"/>
      <c r="M87" s="223"/>
    </row>
    <row r="88" spans="2:13">
      <c r="B88" s="222">
        <v>9.5</v>
      </c>
      <c r="C88" s="223">
        <v>75</v>
      </c>
      <c r="D88" s="223">
        <v>100</v>
      </c>
      <c r="E88" s="222" t="s">
        <v>525</v>
      </c>
      <c r="F88" s="223">
        <v>6.77</v>
      </c>
      <c r="G88" s="223">
        <f>CEILING(F88*Новинки!$P$5/D88,5)</f>
        <v>10</v>
      </c>
      <c r="H88" s="223">
        <f>IF(C88=Переплёт!$C$9,1,0)*IF(Аксессуры!E88=Переплёт!$A$9,1,0)</f>
        <v>0</v>
      </c>
      <c r="I88" s="223"/>
      <c r="J88" s="223"/>
      <c r="K88" s="223"/>
      <c r="L88" s="223"/>
      <c r="M88" s="223"/>
    </row>
    <row r="89" spans="2:13">
      <c r="B89" s="222">
        <v>9.5</v>
      </c>
      <c r="C89" s="223">
        <v>75</v>
      </c>
      <c r="D89" s="223">
        <v>100</v>
      </c>
      <c r="E89" s="222" t="s">
        <v>243</v>
      </c>
      <c r="F89" s="223">
        <v>6.92</v>
      </c>
      <c r="G89" s="223">
        <f>CEILING(F89*Новинки!$P$5/D89,5)</f>
        <v>10</v>
      </c>
      <c r="H89" s="223">
        <f>IF(C89=Переплёт!$C$9,1,0)*IF(Аксессуры!E89=Переплёт!$A$9,1,0)</f>
        <v>0</v>
      </c>
      <c r="I89" s="223"/>
      <c r="J89" s="223"/>
      <c r="K89" s="223"/>
      <c r="L89" s="223"/>
      <c r="M89" s="223"/>
    </row>
    <row r="90" spans="2:13">
      <c r="B90" s="222">
        <v>9.5</v>
      </c>
      <c r="C90" s="223">
        <v>75</v>
      </c>
      <c r="D90" s="223">
        <v>100</v>
      </c>
      <c r="E90" s="222" t="s">
        <v>244</v>
      </c>
      <c r="F90" s="223">
        <v>8.15</v>
      </c>
      <c r="G90" s="223">
        <f>CEILING(F90*Новинки!$P$5/D90,5)</f>
        <v>10</v>
      </c>
      <c r="H90" s="223">
        <f>IF(C90=Переплёт!$C$9,1,0)*IF(Аксессуры!E90=Переплёт!$A$9,1,0)</f>
        <v>0</v>
      </c>
      <c r="I90" s="223"/>
      <c r="J90" s="223"/>
      <c r="K90" s="223"/>
      <c r="L90" s="223"/>
      <c r="M90" s="223"/>
    </row>
    <row r="91" spans="2:13">
      <c r="B91" s="222">
        <v>11.1</v>
      </c>
      <c r="C91" s="223">
        <v>85</v>
      </c>
      <c r="D91" s="223">
        <v>100</v>
      </c>
      <c r="E91" s="222" t="s">
        <v>245</v>
      </c>
      <c r="F91" s="223">
        <v>10.210000000000001</v>
      </c>
      <c r="G91" s="223">
        <f>CEILING(F91*Новинки!$P$5/D91,5)</f>
        <v>15</v>
      </c>
      <c r="H91" s="223">
        <f>IF(C91=Переплёт!$C$9,1,0)*IF(Аксессуры!E91=Переплёт!$A$9,1,0)</f>
        <v>0</v>
      </c>
      <c r="I91" s="223"/>
      <c r="J91" s="223"/>
      <c r="K91" s="223"/>
      <c r="L91" s="223"/>
      <c r="M91" s="223"/>
    </row>
    <row r="92" spans="2:13">
      <c r="B92" s="222">
        <v>11.1</v>
      </c>
      <c r="C92" s="223">
        <v>85</v>
      </c>
      <c r="D92" s="223">
        <v>100</v>
      </c>
      <c r="E92" s="222" t="s">
        <v>242</v>
      </c>
      <c r="F92" s="223">
        <v>10.210000000000001</v>
      </c>
      <c r="G92" s="223">
        <f>CEILING(F92*Новинки!$P$5/D92,5)</f>
        <v>15</v>
      </c>
      <c r="H92" s="223">
        <f>IF(C92=Переплёт!$C$9,1,0)*IF(Аксессуры!E92=Переплёт!$A$9,1,0)</f>
        <v>0</v>
      </c>
      <c r="I92" s="223"/>
      <c r="J92" s="223"/>
      <c r="K92" s="223"/>
      <c r="L92" s="223"/>
      <c r="M92" s="223"/>
    </row>
    <row r="93" spans="2:13">
      <c r="B93" s="222">
        <v>11.1</v>
      </c>
      <c r="C93" s="223">
        <v>85</v>
      </c>
      <c r="D93" s="223">
        <v>100</v>
      </c>
      <c r="E93" s="222" t="s">
        <v>215</v>
      </c>
      <c r="F93" s="223">
        <v>8.86</v>
      </c>
      <c r="G93" s="223">
        <f>CEILING(F93*Новинки!$P$5/D93,5)</f>
        <v>10</v>
      </c>
      <c r="H93" s="223">
        <f>IF(C93=Переплёт!$C$9,1,0)*IF(Аксессуры!E93=Переплёт!$A$9,1,0)</f>
        <v>0</v>
      </c>
      <c r="I93" s="223"/>
      <c r="J93" s="223"/>
      <c r="K93" s="223"/>
      <c r="L93" s="223"/>
      <c r="M93" s="223"/>
    </row>
    <row r="94" spans="2:13">
      <c r="B94" s="222">
        <v>11.1</v>
      </c>
      <c r="C94" s="223">
        <v>85</v>
      </c>
      <c r="D94" s="223">
        <v>100</v>
      </c>
      <c r="E94" s="222" t="s">
        <v>244</v>
      </c>
      <c r="F94" s="223">
        <v>9.19</v>
      </c>
      <c r="G94" s="223">
        <f>CEILING(F94*Новинки!$P$5/D94,5)</f>
        <v>10</v>
      </c>
      <c r="H94" s="223">
        <f>IF(C94=Переплёт!$C$9,1,0)*IF(Аксессуры!E94=Переплёт!$A$9,1,0)</f>
        <v>0</v>
      </c>
      <c r="I94" s="223"/>
      <c r="J94" s="223"/>
      <c r="K94" s="223"/>
      <c r="L94" s="223"/>
      <c r="M94" s="223"/>
    </row>
    <row r="95" spans="2:13">
      <c r="B95" s="222">
        <v>11.1</v>
      </c>
      <c r="C95" s="223">
        <v>85</v>
      </c>
      <c r="D95" s="223">
        <v>100</v>
      </c>
      <c r="E95" s="222" t="s">
        <v>898</v>
      </c>
      <c r="F95" s="223">
        <v>10.4</v>
      </c>
      <c r="G95" s="223">
        <f>CEILING(F95*Новинки!$P$5/D95,5)</f>
        <v>15</v>
      </c>
      <c r="H95" s="223">
        <f>IF(C95=Переплёт!$C$9,1,0)*IF(Аксессуры!E95=Переплёт!$A$9,1,0)</f>
        <v>0</v>
      </c>
      <c r="I95" s="223"/>
      <c r="J95" s="223"/>
      <c r="K95" s="223"/>
      <c r="L95" s="223"/>
      <c r="M95" s="223"/>
    </row>
    <row r="96" spans="2:13">
      <c r="B96" s="222">
        <v>11.1</v>
      </c>
      <c r="C96" s="223">
        <v>85</v>
      </c>
      <c r="D96" s="223">
        <v>100</v>
      </c>
      <c r="E96" s="222" t="s">
        <v>525</v>
      </c>
      <c r="F96" s="223">
        <v>8.7899999999999991</v>
      </c>
      <c r="G96" s="223">
        <f>CEILING(F96*Новинки!$P$5/D96,5)</f>
        <v>10</v>
      </c>
      <c r="H96" s="223">
        <f>IF(C96=Переплёт!$C$9,1,0)*IF(Аксессуры!E96=Переплёт!$A$9,1,0)</f>
        <v>0</v>
      </c>
      <c r="I96" s="223"/>
      <c r="J96" s="223"/>
      <c r="K96" s="223"/>
      <c r="L96" s="223"/>
      <c r="M96" s="223"/>
    </row>
    <row r="97" spans="2:13">
      <c r="B97" s="222">
        <v>11.1</v>
      </c>
      <c r="C97" s="223">
        <v>85</v>
      </c>
      <c r="D97" s="223">
        <v>100</v>
      </c>
      <c r="E97" s="222" t="s">
        <v>1029</v>
      </c>
      <c r="F97" s="223">
        <v>10.88</v>
      </c>
      <c r="G97" s="223">
        <f>CEILING(F97*Новинки!$P$5/D97,5)</f>
        <v>15</v>
      </c>
      <c r="H97" s="223">
        <f>IF(C97=Переплёт!$C$9,1,0)*IF(Аксессуры!E97=Переплёт!$A$9,1,0)</f>
        <v>0</v>
      </c>
      <c r="I97" s="223"/>
      <c r="J97" s="223"/>
      <c r="K97" s="223"/>
      <c r="L97" s="223"/>
      <c r="M97" s="223"/>
    </row>
    <row r="98" spans="2:13">
      <c r="B98" s="222">
        <v>12.7</v>
      </c>
      <c r="C98" s="223">
        <v>100</v>
      </c>
      <c r="D98" s="223">
        <v>100</v>
      </c>
      <c r="E98" s="222" t="s">
        <v>245</v>
      </c>
      <c r="F98" s="223">
        <v>11.84</v>
      </c>
      <c r="G98" s="223">
        <f>CEILING(F98*Новинки!$P$5/D98,5)</f>
        <v>15</v>
      </c>
      <c r="H98" s="223">
        <f>IF(C98=Переплёт!$C$9,1,0)*IF(Аксессуры!E98=Переплёт!$A$9,1,0)</f>
        <v>0</v>
      </c>
      <c r="I98" s="223"/>
      <c r="J98" s="223"/>
      <c r="K98" s="223"/>
      <c r="L98" s="223"/>
      <c r="M98" s="223"/>
    </row>
    <row r="99" spans="2:13">
      <c r="B99" s="222">
        <v>12.7</v>
      </c>
      <c r="C99" s="223">
        <v>100</v>
      </c>
      <c r="D99" s="223">
        <v>100</v>
      </c>
      <c r="E99" s="222" t="s">
        <v>244</v>
      </c>
      <c r="F99" s="223">
        <v>11.84</v>
      </c>
      <c r="G99" s="223">
        <f>CEILING(F99*Новинки!$P$5/D99,5)</f>
        <v>15</v>
      </c>
      <c r="H99" s="223">
        <f>IF(C99=Переплёт!$C$9,1,0)*IF(Аксессуры!E99=Переплёт!$A$9,1,0)</f>
        <v>0</v>
      </c>
      <c r="I99" s="223"/>
      <c r="J99" s="223"/>
      <c r="K99" s="223"/>
      <c r="L99" s="223"/>
      <c r="M99" s="223"/>
    </row>
    <row r="100" spans="2:13">
      <c r="B100" s="222">
        <v>12.7</v>
      </c>
      <c r="C100" s="223">
        <v>100</v>
      </c>
      <c r="D100" s="223">
        <v>100</v>
      </c>
      <c r="E100" s="222" t="s">
        <v>243</v>
      </c>
      <c r="F100" s="223">
        <v>11.84</v>
      </c>
      <c r="G100" s="223">
        <f>CEILING(F100*Новинки!$P$5/D100,5)</f>
        <v>15</v>
      </c>
      <c r="H100" s="223">
        <f>IF(C100=Переплёт!$C$9,1,0)*IF(Аксессуры!E100=Переплёт!$A$9,1,0)</f>
        <v>0</v>
      </c>
      <c r="I100" s="223"/>
      <c r="J100" s="223"/>
      <c r="K100" s="223"/>
      <c r="L100" s="223"/>
      <c r="M100" s="223"/>
    </row>
    <row r="101" spans="2:13">
      <c r="B101" s="222">
        <v>12.7</v>
      </c>
      <c r="C101" s="223">
        <v>100</v>
      </c>
      <c r="D101" s="223">
        <v>100</v>
      </c>
      <c r="E101" s="222" t="s">
        <v>242</v>
      </c>
      <c r="F101" s="223">
        <v>11.84</v>
      </c>
      <c r="G101" s="223">
        <f>CEILING(F101*Новинки!$P$5/D101,5)</f>
        <v>15</v>
      </c>
      <c r="H101" s="223">
        <f>IF(C101=Переплёт!$C$9,1,0)*IF(Аксессуры!E101=Переплёт!$A$9,1,0)</f>
        <v>0</v>
      </c>
      <c r="I101" s="223"/>
      <c r="J101" s="223"/>
      <c r="K101" s="223"/>
      <c r="L101" s="223"/>
      <c r="M101" s="223"/>
    </row>
    <row r="102" spans="2:13">
      <c r="B102" s="222">
        <v>12.7</v>
      </c>
      <c r="C102" s="223">
        <v>100</v>
      </c>
      <c r="D102" s="223">
        <v>100</v>
      </c>
      <c r="E102" s="222" t="s">
        <v>215</v>
      </c>
      <c r="F102" s="223">
        <v>10.74</v>
      </c>
      <c r="G102" s="223">
        <f>CEILING(F102*Новинки!$P$5/D102,5)</f>
        <v>15</v>
      </c>
      <c r="H102" s="223">
        <f>IF(C102=Переплёт!$C$9,1,0)*IF(Аксессуры!E102=Переплёт!$A$9,1,0)</f>
        <v>1</v>
      </c>
      <c r="I102" s="223"/>
      <c r="J102" s="223"/>
      <c r="K102" s="223"/>
      <c r="L102" s="223"/>
      <c r="M102" s="223"/>
    </row>
    <row r="103" spans="2:13">
      <c r="B103" s="222">
        <v>12.7</v>
      </c>
      <c r="C103" s="223">
        <v>100</v>
      </c>
      <c r="D103" s="223">
        <v>100</v>
      </c>
      <c r="E103" s="222" t="s">
        <v>898</v>
      </c>
      <c r="F103" s="223">
        <v>11.84</v>
      </c>
      <c r="G103" s="223">
        <f>CEILING(F103*Новинки!$P$5/D103,5)</f>
        <v>15</v>
      </c>
      <c r="H103" s="223">
        <f>IF(C103=Переплёт!$C$9,1,0)*IF(Аксессуры!E103=Переплёт!$A$9,1,0)</f>
        <v>0</v>
      </c>
      <c r="I103" s="223"/>
      <c r="J103" s="223"/>
      <c r="K103" s="223"/>
      <c r="L103" s="223"/>
      <c r="M103" s="223"/>
    </row>
    <row r="104" spans="2:13">
      <c r="B104" s="222">
        <v>12.7</v>
      </c>
      <c r="C104" s="223">
        <v>100</v>
      </c>
      <c r="D104" s="223">
        <v>100</v>
      </c>
      <c r="E104" s="222" t="s">
        <v>525</v>
      </c>
      <c r="F104" s="223">
        <v>9.8800000000000008</v>
      </c>
      <c r="G104" s="223">
        <f>CEILING(F104*Новинки!$P$5/D104,5)</f>
        <v>15</v>
      </c>
      <c r="H104" s="223">
        <f>IF(C104=Переплёт!$C$9,1,0)*IF(Аксессуры!E104=Переплёт!$A$9,1,0)</f>
        <v>0</v>
      </c>
      <c r="I104" s="223"/>
      <c r="J104" s="223"/>
      <c r="K104" s="223"/>
      <c r="L104" s="223"/>
      <c r="M104" s="223"/>
    </row>
    <row r="105" spans="2:13">
      <c r="B105" s="222">
        <v>12.7</v>
      </c>
      <c r="C105" s="223">
        <v>100</v>
      </c>
      <c r="D105" s="223">
        <v>100</v>
      </c>
      <c r="E105" s="222" t="s">
        <v>1029</v>
      </c>
      <c r="F105" s="223">
        <v>13.05</v>
      </c>
      <c r="G105" s="223">
        <f>CEILING(F105*Новинки!$P$5/D105,5)</f>
        <v>15</v>
      </c>
      <c r="H105" s="223">
        <f>IF(C105=Переплёт!$C$9,1,0)*IF(Аксессуры!E105=Переплёт!$A$9,1,0)</f>
        <v>0</v>
      </c>
      <c r="I105" s="223"/>
      <c r="J105" s="223"/>
      <c r="K105" s="223"/>
      <c r="L105" s="223"/>
      <c r="M105" s="223"/>
    </row>
    <row r="106" spans="2:13">
      <c r="B106" s="222">
        <v>14.3</v>
      </c>
      <c r="C106" s="223">
        <v>120</v>
      </c>
      <c r="D106" s="223">
        <v>100</v>
      </c>
      <c r="E106" s="222" t="s">
        <v>242</v>
      </c>
      <c r="F106" s="223">
        <v>14.53</v>
      </c>
      <c r="G106" s="223">
        <f>CEILING(F106*Новинки!$P$5/D106,5)</f>
        <v>20</v>
      </c>
      <c r="H106" s="223">
        <f>IF(C106=Переплёт!$C$9,1,0)*IF(Аксессуры!E106=Переплёт!$A$9,1,0)</f>
        <v>0</v>
      </c>
      <c r="I106" s="223"/>
      <c r="J106" s="223"/>
      <c r="K106" s="223"/>
      <c r="L106" s="223"/>
      <c r="M106" s="223"/>
    </row>
    <row r="107" spans="2:13">
      <c r="B107" s="222">
        <v>14.3</v>
      </c>
      <c r="C107" s="223">
        <v>120</v>
      </c>
      <c r="D107" s="223">
        <v>100</v>
      </c>
      <c r="E107" s="222" t="s">
        <v>215</v>
      </c>
      <c r="F107" s="223">
        <v>12.56</v>
      </c>
      <c r="G107" s="223">
        <f>CEILING(F107*Новинки!$P$5/D107,5)</f>
        <v>15</v>
      </c>
      <c r="H107" s="223">
        <f>IF(C107=Переплёт!$C$9,1,0)*IF(Аксессуры!E107=Переплёт!$A$9,1,0)</f>
        <v>0</v>
      </c>
      <c r="I107" s="223"/>
      <c r="J107" s="223"/>
      <c r="K107" s="223"/>
      <c r="L107" s="223"/>
      <c r="M107" s="223"/>
    </row>
    <row r="108" spans="2:13">
      <c r="B108" s="222">
        <v>14.3</v>
      </c>
      <c r="C108" s="223">
        <v>120</v>
      </c>
      <c r="D108" s="223">
        <v>100</v>
      </c>
      <c r="E108" s="222" t="s">
        <v>244</v>
      </c>
      <c r="F108" s="223">
        <v>14.53</v>
      </c>
      <c r="G108" s="223">
        <f>CEILING(F108*Новинки!$P$5/D108,5)</f>
        <v>20</v>
      </c>
      <c r="H108" s="223">
        <f>IF(C108=Переплёт!$C$9,1,0)*IF(Аксессуры!E108=Переплёт!$A$9,1,0)</f>
        <v>0</v>
      </c>
      <c r="I108" s="223"/>
      <c r="J108" s="223"/>
      <c r="K108" s="223"/>
      <c r="L108" s="223"/>
      <c r="M108" s="223"/>
    </row>
    <row r="109" spans="2:13">
      <c r="B109" s="222">
        <v>14.3</v>
      </c>
      <c r="C109" s="223">
        <v>120</v>
      </c>
      <c r="D109" s="223">
        <v>100</v>
      </c>
      <c r="E109" s="222" t="s">
        <v>898</v>
      </c>
      <c r="F109" s="223">
        <v>15.84</v>
      </c>
      <c r="G109" s="223">
        <f>CEILING(F109*Новинки!$P$5/D109,5)</f>
        <v>20</v>
      </c>
      <c r="H109" s="223">
        <f>IF(C109=Переплёт!$C$9,1,0)*IF(Аксессуры!E109=Переплёт!$A$9,1,0)</f>
        <v>0</v>
      </c>
      <c r="I109" s="223"/>
      <c r="J109" s="223"/>
      <c r="K109" s="223"/>
      <c r="L109" s="223"/>
      <c r="M109" s="223"/>
    </row>
    <row r="110" spans="2:13">
      <c r="B110" s="222">
        <v>14.3</v>
      </c>
      <c r="C110" s="223">
        <v>120</v>
      </c>
      <c r="D110" s="223">
        <v>100</v>
      </c>
      <c r="E110" s="222" t="s">
        <v>525</v>
      </c>
      <c r="F110" s="223">
        <v>12.15</v>
      </c>
      <c r="G110" s="223">
        <f>CEILING(F110*Новинки!$P$5/D110,5)</f>
        <v>15</v>
      </c>
      <c r="H110" s="223">
        <f>IF(C110=Переплёт!$C$9,1,0)*IF(Аксессуры!E110=Переплёт!$A$9,1,0)</f>
        <v>0</v>
      </c>
      <c r="I110" s="223"/>
      <c r="J110" s="223"/>
      <c r="K110" s="223"/>
      <c r="L110" s="223"/>
      <c r="M110" s="223"/>
    </row>
    <row r="111" spans="2:13">
      <c r="B111" s="222">
        <v>14.3</v>
      </c>
      <c r="C111" s="223">
        <v>120</v>
      </c>
      <c r="D111" s="223">
        <v>100</v>
      </c>
      <c r="E111" s="222" t="s">
        <v>1029</v>
      </c>
      <c r="F111" s="223">
        <v>14.18</v>
      </c>
      <c r="G111" s="223">
        <f>CEILING(F111*Новинки!$P$5/D111,5)</f>
        <v>15</v>
      </c>
      <c r="H111" s="223">
        <f>IF(C111=Переплёт!$C$9,1,0)*IF(Аксессуры!E111=Переплёт!$A$9,1,0)</f>
        <v>0</v>
      </c>
      <c r="I111" s="223"/>
      <c r="J111" s="223"/>
      <c r="K111" s="223"/>
      <c r="L111" s="223"/>
      <c r="M111" s="223"/>
    </row>
    <row r="112" spans="2:13">
      <c r="B112" s="222">
        <v>14.3</v>
      </c>
      <c r="C112" s="223">
        <v>120</v>
      </c>
      <c r="D112" s="223">
        <v>100</v>
      </c>
      <c r="E112" s="222" t="s">
        <v>245</v>
      </c>
      <c r="F112" s="223">
        <v>14.53</v>
      </c>
      <c r="G112" s="223">
        <f>CEILING(F112*Новинки!$P$5/D112,5)</f>
        <v>20</v>
      </c>
      <c r="H112" s="223">
        <f>IF(C112=Переплёт!$C$9,1,0)*IF(Аксессуры!E112=Переплёт!$A$9,1,0)</f>
        <v>0</v>
      </c>
      <c r="I112" s="223"/>
      <c r="J112" s="223"/>
      <c r="K112" s="223"/>
      <c r="L112" s="223"/>
      <c r="M112" s="223"/>
    </row>
    <row r="113" spans="2:13">
      <c r="B113" s="222">
        <v>14.3</v>
      </c>
      <c r="C113" s="223">
        <v>120</v>
      </c>
      <c r="D113" s="223">
        <v>100</v>
      </c>
      <c r="E113" s="222" t="s">
        <v>243</v>
      </c>
      <c r="F113" s="223">
        <v>13.14</v>
      </c>
      <c r="G113" s="223">
        <f>CEILING(F113*Новинки!$P$5/D113,5)</f>
        <v>15</v>
      </c>
      <c r="H113" s="223">
        <f>IF(C113=Переплёт!$C$9,1,0)*IF(Аксессуры!E113=Переплёт!$A$9,1,0)</f>
        <v>0</v>
      </c>
      <c r="I113" s="223"/>
      <c r="J113" s="223"/>
      <c r="K113" s="223"/>
      <c r="L113" s="223"/>
      <c r="M113" s="223"/>
    </row>
    <row r="144" spans="1:9">
      <c r="A144" t="s">
        <v>841</v>
      </c>
      <c r="B144" t="s">
        <v>842</v>
      </c>
      <c r="C144">
        <v>4908</v>
      </c>
      <c r="D144" t="s">
        <v>799</v>
      </c>
      <c r="E144" t="s">
        <v>449</v>
      </c>
      <c r="F144">
        <v>181</v>
      </c>
      <c r="G144" t="s">
        <v>840</v>
      </c>
      <c r="H144">
        <v>14</v>
      </c>
      <c r="I144">
        <v>8</v>
      </c>
    </row>
    <row r="145" spans="1:9">
      <c r="A145" t="s">
        <v>841</v>
      </c>
      <c r="B145" t="s">
        <v>842</v>
      </c>
      <c r="C145">
        <v>4910</v>
      </c>
      <c r="D145" t="s">
        <v>800</v>
      </c>
      <c r="E145" t="s">
        <v>449</v>
      </c>
      <c r="F145">
        <v>181</v>
      </c>
      <c r="G145" t="s">
        <v>840</v>
      </c>
      <c r="H145">
        <v>26</v>
      </c>
      <c r="I145">
        <v>9</v>
      </c>
    </row>
    <row r="146" spans="1:9">
      <c r="A146" t="s">
        <v>841</v>
      </c>
      <c r="B146" t="s">
        <v>1208</v>
      </c>
      <c r="C146" t="s">
        <v>1324</v>
      </c>
      <c r="D146" t="s">
        <v>1325</v>
      </c>
      <c r="E146" t="s">
        <v>449</v>
      </c>
      <c r="F146">
        <v>180</v>
      </c>
      <c r="G146" t="s">
        <v>840</v>
      </c>
      <c r="H146">
        <v>27</v>
      </c>
      <c r="I146">
        <v>10</v>
      </c>
    </row>
    <row r="147" spans="1:9">
      <c r="A147" t="s">
        <v>841</v>
      </c>
      <c r="B147" t="s">
        <v>1208</v>
      </c>
      <c r="C147" t="s">
        <v>1326</v>
      </c>
      <c r="D147" t="s">
        <v>801</v>
      </c>
      <c r="E147" t="s">
        <v>449</v>
      </c>
      <c r="F147">
        <v>180</v>
      </c>
      <c r="G147" t="s">
        <v>840</v>
      </c>
      <c r="H147">
        <v>38</v>
      </c>
      <c r="I147">
        <v>14</v>
      </c>
    </row>
    <row r="148" spans="1:9">
      <c r="A148" t="s">
        <v>841</v>
      </c>
      <c r="B148" t="s">
        <v>1208</v>
      </c>
      <c r="C148" t="s">
        <v>1327</v>
      </c>
      <c r="D148" t="s">
        <v>802</v>
      </c>
      <c r="E148" t="s">
        <v>449</v>
      </c>
      <c r="F148">
        <v>200</v>
      </c>
      <c r="G148" t="s">
        <v>840</v>
      </c>
      <c r="H148">
        <v>47</v>
      </c>
      <c r="I148">
        <v>18</v>
      </c>
    </row>
    <row r="149" spans="1:9">
      <c r="A149" t="s">
        <v>841</v>
      </c>
      <c r="B149" t="s">
        <v>842</v>
      </c>
      <c r="C149">
        <v>4913</v>
      </c>
      <c r="D149" t="s">
        <v>803</v>
      </c>
      <c r="E149" t="s">
        <v>449</v>
      </c>
      <c r="F149">
        <v>304</v>
      </c>
      <c r="G149" t="s">
        <v>840</v>
      </c>
      <c r="H149">
        <v>58</v>
      </c>
      <c r="I149">
        <v>22</v>
      </c>
    </row>
    <row r="150" spans="1:9">
      <c r="A150" t="s">
        <v>841</v>
      </c>
      <c r="B150" t="s">
        <v>842</v>
      </c>
      <c r="C150">
        <v>4915</v>
      </c>
      <c r="D150" t="s">
        <v>804</v>
      </c>
      <c r="E150" t="s">
        <v>449</v>
      </c>
      <c r="F150">
        <v>420</v>
      </c>
      <c r="G150" t="s">
        <v>840</v>
      </c>
      <c r="H150">
        <v>70</v>
      </c>
      <c r="I150">
        <v>25</v>
      </c>
    </row>
    <row r="151" spans="1:9">
      <c r="A151" t="s">
        <v>841</v>
      </c>
      <c r="B151" t="s">
        <v>1208</v>
      </c>
      <c r="C151" t="s">
        <v>1328</v>
      </c>
      <c r="D151" t="s">
        <v>1329</v>
      </c>
      <c r="E151" t="s">
        <v>449</v>
      </c>
      <c r="F151">
        <v>400</v>
      </c>
      <c r="G151" t="s">
        <v>840</v>
      </c>
      <c r="H151">
        <v>76</v>
      </c>
      <c r="I151">
        <v>37</v>
      </c>
    </row>
    <row r="152" spans="1:9">
      <c r="A152" t="s">
        <v>841</v>
      </c>
      <c r="B152" t="s">
        <v>842</v>
      </c>
      <c r="C152">
        <v>4925</v>
      </c>
      <c r="D152" t="s">
        <v>806</v>
      </c>
      <c r="E152" t="s">
        <v>449</v>
      </c>
      <c r="F152">
        <v>464</v>
      </c>
      <c r="G152" t="s">
        <v>840</v>
      </c>
      <c r="H152">
        <v>82</v>
      </c>
      <c r="I152">
        <v>25</v>
      </c>
    </row>
    <row r="153" spans="1:9">
      <c r="A153" t="s">
        <v>841</v>
      </c>
      <c r="B153" t="s">
        <v>842</v>
      </c>
      <c r="C153">
        <v>4926</v>
      </c>
      <c r="D153" t="s">
        <v>807</v>
      </c>
      <c r="E153" t="s">
        <v>449</v>
      </c>
      <c r="F153">
        <v>443</v>
      </c>
      <c r="G153" t="s">
        <v>840</v>
      </c>
      <c r="H153">
        <v>75</v>
      </c>
      <c r="I153">
        <v>38</v>
      </c>
    </row>
    <row r="154" spans="1:9">
      <c r="A154" t="s">
        <v>841</v>
      </c>
      <c r="B154" t="s">
        <v>842</v>
      </c>
      <c r="C154">
        <v>4927</v>
      </c>
      <c r="D154" t="s">
        <v>808</v>
      </c>
      <c r="E154" t="s">
        <v>449</v>
      </c>
      <c r="F154">
        <v>418</v>
      </c>
      <c r="G154" t="s">
        <v>840</v>
      </c>
      <c r="H154">
        <v>60</v>
      </c>
      <c r="I154">
        <v>40</v>
      </c>
    </row>
    <row r="155" spans="1:9">
      <c r="A155" t="s">
        <v>841</v>
      </c>
      <c r="B155" t="s">
        <v>842</v>
      </c>
      <c r="C155">
        <v>4928</v>
      </c>
      <c r="D155" t="s">
        <v>809</v>
      </c>
      <c r="E155" t="s">
        <v>449</v>
      </c>
      <c r="F155">
        <v>395</v>
      </c>
      <c r="G155" t="s">
        <v>840</v>
      </c>
      <c r="H155">
        <v>60</v>
      </c>
      <c r="I155">
        <v>33</v>
      </c>
    </row>
    <row r="156" spans="1:9">
      <c r="A156" t="s">
        <v>841</v>
      </c>
      <c r="B156" t="s">
        <v>842</v>
      </c>
      <c r="C156">
        <v>4929</v>
      </c>
      <c r="D156" t="s">
        <v>810</v>
      </c>
      <c r="E156" t="s">
        <v>449</v>
      </c>
      <c r="F156">
        <v>371</v>
      </c>
      <c r="G156" t="s">
        <v>840</v>
      </c>
      <c r="H156">
        <v>50</v>
      </c>
      <c r="I156">
        <v>30</v>
      </c>
    </row>
    <row r="157" spans="1:9">
      <c r="A157" t="s">
        <v>841</v>
      </c>
      <c r="B157" t="s">
        <v>842</v>
      </c>
      <c r="C157">
        <v>4931</v>
      </c>
      <c r="D157" t="s">
        <v>811</v>
      </c>
      <c r="E157" t="s">
        <v>449</v>
      </c>
      <c r="F157">
        <v>437</v>
      </c>
      <c r="G157" t="s">
        <v>840</v>
      </c>
      <c r="H157">
        <v>70</v>
      </c>
      <c r="I157">
        <v>30</v>
      </c>
    </row>
    <row r="158" spans="1:9">
      <c r="A158" t="s">
        <v>841</v>
      </c>
      <c r="B158" t="s">
        <v>842</v>
      </c>
      <c r="C158">
        <v>46019</v>
      </c>
      <c r="D158" t="s">
        <v>812</v>
      </c>
      <c r="E158" t="s">
        <v>449</v>
      </c>
      <c r="F158">
        <v>225</v>
      </c>
      <c r="G158" t="s">
        <v>839</v>
      </c>
      <c r="H158">
        <v>19</v>
      </c>
      <c r="I158">
        <v>19</v>
      </c>
    </row>
    <row r="159" spans="1:9">
      <c r="A159" t="s">
        <v>841</v>
      </c>
      <c r="B159" t="s">
        <v>842</v>
      </c>
      <c r="C159">
        <v>46025</v>
      </c>
      <c r="D159" t="s">
        <v>813</v>
      </c>
      <c r="E159" t="s">
        <v>449</v>
      </c>
      <c r="F159">
        <v>253</v>
      </c>
      <c r="G159" t="s">
        <v>839</v>
      </c>
      <c r="H159">
        <v>25</v>
      </c>
      <c r="I159">
        <v>25</v>
      </c>
    </row>
    <row r="160" spans="1:9">
      <c r="A160" t="s">
        <v>841</v>
      </c>
      <c r="B160" t="s">
        <v>1208</v>
      </c>
      <c r="C160" s="3" t="s">
        <v>1210</v>
      </c>
      <c r="D160" t="s">
        <v>814</v>
      </c>
      <c r="E160" t="s">
        <v>449</v>
      </c>
      <c r="F160">
        <v>330</v>
      </c>
      <c r="G160" t="s">
        <v>839</v>
      </c>
      <c r="H160">
        <v>30</v>
      </c>
      <c r="I160">
        <v>30</v>
      </c>
    </row>
    <row r="161" spans="1:9">
      <c r="A161" t="s">
        <v>841</v>
      </c>
      <c r="B161" t="s">
        <v>1208</v>
      </c>
      <c r="C161" s="3" t="s">
        <v>1209</v>
      </c>
      <c r="D161" t="s">
        <v>815</v>
      </c>
      <c r="E161" t="s">
        <v>449</v>
      </c>
      <c r="F161">
        <v>300</v>
      </c>
      <c r="G161" t="s">
        <v>839</v>
      </c>
      <c r="H161">
        <v>40</v>
      </c>
      <c r="I161">
        <v>40</v>
      </c>
    </row>
    <row r="162" spans="1:9">
      <c r="A162" t="s">
        <v>841</v>
      </c>
      <c r="B162" t="s">
        <v>842</v>
      </c>
      <c r="C162">
        <v>46045</v>
      </c>
      <c r="D162" t="s">
        <v>816</v>
      </c>
      <c r="E162" t="s">
        <v>449</v>
      </c>
      <c r="F162">
        <v>310</v>
      </c>
      <c r="G162" t="s">
        <v>839</v>
      </c>
      <c r="H162">
        <v>45</v>
      </c>
      <c r="I162">
        <v>45</v>
      </c>
    </row>
    <row r="163" spans="1:9">
      <c r="A163" t="s">
        <v>841</v>
      </c>
      <c r="B163" t="s">
        <v>842</v>
      </c>
      <c r="C163">
        <v>44055</v>
      </c>
      <c r="D163" t="s">
        <v>817</v>
      </c>
      <c r="E163" t="s">
        <v>449</v>
      </c>
      <c r="F163">
        <v>463</v>
      </c>
      <c r="G163" t="s">
        <v>840</v>
      </c>
      <c r="H163">
        <v>55</v>
      </c>
      <c r="I163">
        <v>35</v>
      </c>
    </row>
    <row r="164" spans="1:9">
      <c r="A164" t="s">
        <v>841</v>
      </c>
      <c r="B164" t="s">
        <v>1208</v>
      </c>
      <c r="C164" s="3" t="s">
        <v>1330</v>
      </c>
      <c r="D164" t="s">
        <v>805</v>
      </c>
      <c r="E164" t="s">
        <v>449</v>
      </c>
      <c r="F164">
        <v>400</v>
      </c>
      <c r="G164" t="s">
        <v>840</v>
      </c>
      <c r="H164">
        <v>75</v>
      </c>
      <c r="I164">
        <v>15</v>
      </c>
    </row>
    <row r="165" spans="1:9">
      <c r="A165" t="s">
        <v>841</v>
      </c>
      <c r="B165" t="s">
        <v>843</v>
      </c>
      <c r="C165">
        <v>4917</v>
      </c>
      <c r="D165" t="s">
        <v>818</v>
      </c>
      <c r="E165" t="s">
        <v>449</v>
      </c>
      <c r="F165">
        <v>268</v>
      </c>
      <c r="G165" t="s">
        <v>840</v>
      </c>
      <c r="H165">
        <v>50</v>
      </c>
      <c r="I165">
        <v>10</v>
      </c>
    </row>
    <row r="166" spans="1:9">
      <c r="A166" t="s">
        <v>841</v>
      </c>
      <c r="B166" t="s">
        <v>843</v>
      </c>
      <c r="C166">
        <v>4921</v>
      </c>
      <c r="D166" t="s">
        <v>819</v>
      </c>
      <c r="E166" t="s">
        <v>449</v>
      </c>
      <c r="F166">
        <v>228</v>
      </c>
      <c r="G166" t="s">
        <v>840</v>
      </c>
      <c r="H166">
        <v>12</v>
      </c>
      <c r="I166">
        <v>12</v>
      </c>
    </row>
    <row r="167" spans="1:9">
      <c r="A167" t="s">
        <v>841</v>
      </c>
      <c r="B167" t="s">
        <v>843</v>
      </c>
      <c r="C167">
        <v>4922</v>
      </c>
      <c r="D167" t="s">
        <v>820</v>
      </c>
      <c r="E167" t="s">
        <v>449</v>
      </c>
      <c r="F167">
        <v>268</v>
      </c>
      <c r="G167" t="s">
        <v>840</v>
      </c>
      <c r="H167">
        <v>20</v>
      </c>
      <c r="I167">
        <v>20</v>
      </c>
    </row>
    <row r="168" spans="1:9">
      <c r="A168" t="s">
        <v>841</v>
      </c>
      <c r="B168" t="s">
        <v>843</v>
      </c>
      <c r="C168">
        <v>4923</v>
      </c>
      <c r="D168" t="s">
        <v>821</v>
      </c>
      <c r="E168" t="s">
        <v>449</v>
      </c>
      <c r="F168">
        <v>295</v>
      </c>
      <c r="G168" t="s">
        <v>840</v>
      </c>
      <c r="H168">
        <v>30</v>
      </c>
      <c r="I168">
        <v>30</v>
      </c>
    </row>
    <row r="169" spans="1:9">
      <c r="A169" t="s">
        <v>841</v>
      </c>
      <c r="B169" t="s">
        <v>843</v>
      </c>
      <c r="C169">
        <v>4924</v>
      </c>
      <c r="D169" t="s">
        <v>822</v>
      </c>
      <c r="E169" t="s">
        <v>449</v>
      </c>
      <c r="F169">
        <v>272</v>
      </c>
      <c r="G169" t="s">
        <v>840</v>
      </c>
      <c r="H169">
        <v>40</v>
      </c>
      <c r="I169">
        <v>40</v>
      </c>
    </row>
    <row r="170" spans="1:9">
      <c r="A170" t="s">
        <v>841</v>
      </c>
      <c r="B170" t="s">
        <v>1208</v>
      </c>
      <c r="C170" t="s">
        <v>1211</v>
      </c>
      <c r="D170" t="s">
        <v>1212</v>
      </c>
      <c r="E170" t="s">
        <v>449</v>
      </c>
      <c r="F170">
        <v>400</v>
      </c>
      <c r="G170" t="s">
        <v>1213</v>
      </c>
      <c r="H170">
        <v>45</v>
      </c>
      <c r="I170">
        <v>45</v>
      </c>
    </row>
    <row r="171" spans="1:9">
      <c r="A171" t="s">
        <v>841</v>
      </c>
      <c r="B171" t="s">
        <v>843</v>
      </c>
      <c r="C171">
        <v>4941</v>
      </c>
      <c r="D171" t="s">
        <v>823</v>
      </c>
      <c r="E171" t="s">
        <v>449</v>
      </c>
      <c r="F171">
        <v>325</v>
      </c>
      <c r="G171" t="s">
        <v>840</v>
      </c>
      <c r="H171">
        <v>41</v>
      </c>
      <c r="I171">
        <v>24</v>
      </c>
    </row>
    <row r="172" spans="1:9">
      <c r="A172" t="s">
        <v>841</v>
      </c>
      <c r="B172" t="s">
        <v>844</v>
      </c>
      <c r="C172">
        <v>5200</v>
      </c>
      <c r="D172" t="s">
        <v>823</v>
      </c>
      <c r="E172" t="s">
        <v>449</v>
      </c>
      <c r="F172">
        <v>830</v>
      </c>
      <c r="G172" t="s">
        <v>840</v>
      </c>
      <c r="H172">
        <v>41</v>
      </c>
      <c r="I172">
        <v>24</v>
      </c>
    </row>
    <row r="173" spans="1:9">
      <c r="A173" t="s">
        <v>841</v>
      </c>
      <c r="B173" t="s">
        <v>844</v>
      </c>
      <c r="C173">
        <v>5203</v>
      </c>
      <c r="D173" t="s">
        <v>824</v>
      </c>
      <c r="E173" t="s">
        <v>449</v>
      </c>
      <c r="F173">
        <v>1011</v>
      </c>
      <c r="G173" t="s">
        <v>840</v>
      </c>
      <c r="H173">
        <v>49</v>
      </c>
      <c r="I173">
        <v>28</v>
      </c>
    </row>
    <row r="174" spans="1:9">
      <c r="A174" t="s">
        <v>841</v>
      </c>
      <c r="B174" t="s">
        <v>844</v>
      </c>
      <c r="C174">
        <v>5204</v>
      </c>
      <c r="D174" t="s">
        <v>825</v>
      </c>
      <c r="E174" t="s">
        <v>449</v>
      </c>
      <c r="F174">
        <v>1064</v>
      </c>
      <c r="G174" t="s">
        <v>840</v>
      </c>
      <c r="H174">
        <v>56</v>
      </c>
      <c r="I174">
        <v>26</v>
      </c>
    </row>
    <row r="175" spans="1:9">
      <c r="A175" t="s">
        <v>841</v>
      </c>
      <c r="B175" t="s">
        <v>844</v>
      </c>
      <c r="C175">
        <v>5205</v>
      </c>
      <c r="D175" t="s">
        <v>804</v>
      </c>
      <c r="E175" t="s">
        <v>449</v>
      </c>
      <c r="F175">
        <v>1108</v>
      </c>
      <c r="G175" t="s">
        <v>840</v>
      </c>
      <c r="H175">
        <v>70</v>
      </c>
      <c r="I175">
        <v>25</v>
      </c>
    </row>
    <row r="176" spans="1:9">
      <c r="A176" t="s">
        <v>841</v>
      </c>
      <c r="B176" t="s">
        <v>844</v>
      </c>
      <c r="C176">
        <v>5206</v>
      </c>
      <c r="D176" t="s">
        <v>826</v>
      </c>
      <c r="E176" t="s">
        <v>449</v>
      </c>
      <c r="F176">
        <v>1093</v>
      </c>
      <c r="G176" t="s">
        <v>840</v>
      </c>
      <c r="H176">
        <v>56</v>
      </c>
      <c r="I176">
        <v>33</v>
      </c>
    </row>
    <row r="177" spans="1:9">
      <c r="A177" t="s">
        <v>841</v>
      </c>
      <c r="B177" t="s">
        <v>844</v>
      </c>
      <c r="C177">
        <v>5207</v>
      </c>
      <c r="D177" t="s">
        <v>808</v>
      </c>
      <c r="E177" t="s">
        <v>449</v>
      </c>
      <c r="F177">
        <v>1136</v>
      </c>
      <c r="G177" t="s">
        <v>840</v>
      </c>
      <c r="H177">
        <v>60</v>
      </c>
      <c r="I177">
        <v>40</v>
      </c>
    </row>
    <row r="178" spans="1:9">
      <c r="A178" t="s">
        <v>841</v>
      </c>
      <c r="B178" t="s">
        <v>844</v>
      </c>
      <c r="C178">
        <v>5208</v>
      </c>
      <c r="D178" t="s">
        <v>827</v>
      </c>
      <c r="E178" t="s">
        <v>449</v>
      </c>
      <c r="F178">
        <v>1645</v>
      </c>
      <c r="G178" t="s">
        <v>840</v>
      </c>
      <c r="H178">
        <v>68</v>
      </c>
      <c r="I178">
        <v>47</v>
      </c>
    </row>
    <row r="179" spans="1:9">
      <c r="A179" t="s">
        <v>841</v>
      </c>
      <c r="B179" t="s">
        <v>844</v>
      </c>
      <c r="C179">
        <v>5211</v>
      </c>
      <c r="D179" t="s">
        <v>828</v>
      </c>
      <c r="E179" t="s">
        <v>449</v>
      </c>
      <c r="F179">
        <v>1990</v>
      </c>
      <c r="G179" t="s">
        <v>840</v>
      </c>
      <c r="H179">
        <v>85</v>
      </c>
      <c r="I179">
        <v>55</v>
      </c>
    </row>
    <row r="180" spans="1:9">
      <c r="A180" t="s">
        <v>841</v>
      </c>
      <c r="B180" t="s">
        <v>844</v>
      </c>
      <c r="C180">
        <v>5215</v>
      </c>
      <c r="D180" t="s">
        <v>816</v>
      </c>
      <c r="E180" t="s">
        <v>449</v>
      </c>
      <c r="F180">
        <v>910</v>
      </c>
      <c r="G180" t="s">
        <v>839</v>
      </c>
      <c r="H180">
        <v>45</v>
      </c>
      <c r="I180">
        <v>45</v>
      </c>
    </row>
    <row r="181" spans="1:9">
      <c r="A181" t="s">
        <v>1331</v>
      </c>
      <c r="B181" t="s">
        <v>1334</v>
      </c>
      <c r="C181" s="3" t="s">
        <v>1332</v>
      </c>
      <c r="D181" t="s">
        <v>815</v>
      </c>
      <c r="E181" t="s">
        <v>449</v>
      </c>
      <c r="F181">
        <v>250</v>
      </c>
      <c r="G181" t="s">
        <v>839</v>
      </c>
      <c r="H181">
        <v>40</v>
      </c>
      <c r="I181">
        <v>40</v>
      </c>
    </row>
    <row r="182" spans="1:9">
      <c r="A182" t="s">
        <v>1331</v>
      </c>
      <c r="B182" t="s">
        <v>1334</v>
      </c>
      <c r="C182">
        <v>9440</v>
      </c>
      <c r="D182" t="s">
        <v>822</v>
      </c>
      <c r="E182" t="s">
        <v>449</v>
      </c>
      <c r="F182">
        <v>250</v>
      </c>
      <c r="G182" t="s">
        <v>840</v>
      </c>
      <c r="H182">
        <v>40</v>
      </c>
      <c r="I182">
        <v>40</v>
      </c>
    </row>
    <row r="183" spans="1:9">
      <c r="A183" t="s">
        <v>1331</v>
      </c>
      <c r="B183" t="s">
        <v>1334</v>
      </c>
      <c r="C183">
        <v>9430</v>
      </c>
      <c r="D183" t="s">
        <v>821</v>
      </c>
      <c r="E183" t="s">
        <v>449</v>
      </c>
      <c r="F183">
        <v>250</v>
      </c>
      <c r="G183" t="s">
        <v>840</v>
      </c>
      <c r="H183">
        <v>30</v>
      </c>
      <c r="I183">
        <v>30</v>
      </c>
    </row>
    <row r="184" spans="1:9">
      <c r="A184" t="s">
        <v>1331</v>
      </c>
      <c r="B184" t="s">
        <v>1334</v>
      </c>
      <c r="C184">
        <v>9411</v>
      </c>
      <c r="D184" t="s">
        <v>802</v>
      </c>
      <c r="E184" t="s">
        <v>449</v>
      </c>
      <c r="F184">
        <v>230</v>
      </c>
      <c r="G184" t="s">
        <v>840</v>
      </c>
      <c r="H184">
        <v>38</v>
      </c>
      <c r="I184">
        <v>14</v>
      </c>
    </row>
    <row r="185" spans="1:9">
      <c r="A185" t="s">
        <v>1331</v>
      </c>
      <c r="B185" t="s">
        <v>1334</v>
      </c>
      <c r="C185">
        <v>9412</v>
      </c>
      <c r="D185" t="s">
        <v>801</v>
      </c>
      <c r="E185" t="s">
        <v>449</v>
      </c>
      <c r="F185">
        <v>230</v>
      </c>
      <c r="G185" t="s">
        <v>840</v>
      </c>
      <c r="H185">
        <v>47</v>
      </c>
      <c r="I185">
        <v>18</v>
      </c>
    </row>
    <row r="186" spans="1:9">
      <c r="A186" t="s">
        <v>867</v>
      </c>
      <c r="C186" t="s">
        <v>868</v>
      </c>
      <c r="D186" t="s">
        <v>815</v>
      </c>
      <c r="E186" t="s">
        <v>449</v>
      </c>
      <c r="F186">
        <v>350</v>
      </c>
      <c r="G186" t="s">
        <v>839</v>
      </c>
      <c r="H186">
        <v>40</v>
      </c>
      <c r="I186">
        <v>40</v>
      </c>
    </row>
    <row r="187" spans="1:9">
      <c r="A187" t="s">
        <v>867</v>
      </c>
      <c r="C187" t="s">
        <v>869</v>
      </c>
      <c r="D187" t="s">
        <v>815</v>
      </c>
      <c r="E187" t="s">
        <v>449</v>
      </c>
      <c r="F187">
        <v>400</v>
      </c>
      <c r="G187" t="s">
        <v>839</v>
      </c>
      <c r="H187">
        <v>40</v>
      </c>
      <c r="I187">
        <v>40</v>
      </c>
    </row>
    <row r="188" spans="1:9">
      <c r="A188" t="s">
        <v>867</v>
      </c>
      <c r="C188" t="s">
        <v>870</v>
      </c>
      <c r="D188" t="s">
        <v>815</v>
      </c>
      <c r="E188" t="s">
        <v>449</v>
      </c>
      <c r="F188">
        <v>450</v>
      </c>
      <c r="G188" t="s">
        <v>839</v>
      </c>
      <c r="H188">
        <v>40</v>
      </c>
      <c r="I188">
        <v>40</v>
      </c>
    </row>
    <row r="189" spans="1:9">
      <c r="A189" t="s">
        <v>867</v>
      </c>
      <c r="C189" t="s">
        <v>871</v>
      </c>
      <c r="D189" t="s">
        <v>815</v>
      </c>
      <c r="E189" t="s">
        <v>449</v>
      </c>
      <c r="F189">
        <v>550</v>
      </c>
      <c r="G189" t="s">
        <v>839</v>
      </c>
      <c r="H189">
        <v>40</v>
      </c>
      <c r="I189">
        <v>40</v>
      </c>
    </row>
    <row r="190" spans="1:9">
      <c r="A190" t="s">
        <v>867</v>
      </c>
      <c r="C190" t="s">
        <v>872</v>
      </c>
      <c r="D190" t="s">
        <v>815</v>
      </c>
      <c r="E190" t="s">
        <v>449</v>
      </c>
      <c r="F190">
        <v>1000</v>
      </c>
      <c r="G190" t="s">
        <v>839</v>
      </c>
      <c r="H190">
        <v>40</v>
      </c>
      <c r="I190">
        <v>40</v>
      </c>
    </row>
    <row r="191" spans="1:9">
      <c r="A191" t="s">
        <v>867</v>
      </c>
      <c r="C191" t="s">
        <v>873</v>
      </c>
      <c r="D191" t="s">
        <v>815</v>
      </c>
      <c r="E191" t="s">
        <v>449</v>
      </c>
      <c r="F191">
        <v>900</v>
      </c>
      <c r="G191" t="s">
        <v>839</v>
      </c>
      <c r="H191">
        <v>40</v>
      </c>
      <c r="I191">
        <v>40</v>
      </c>
    </row>
    <row r="192" spans="1:9">
      <c r="A192" t="s">
        <v>867</v>
      </c>
      <c r="C192" t="s">
        <v>874</v>
      </c>
      <c r="D192" t="s">
        <v>815</v>
      </c>
      <c r="E192" t="s">
        <v>449</v>
      </c>
      <c r="F192">
        <v>900</v>
      </c>
      <c r="G192" t="s">
        <v>839</v>
      </c>
      <c r="H192">
        <v>40</v>
      </c>
      <c r="I192">
        <v>40</v>
      </c>
    </row>
    <row r="193" spans="1:9">
      <c r="A193" t="s">
        <v>867</v>
      </c>
      <c r="C193" t="s">
        <v>875</v>
      </c>
      <c r="D193" t="s">
        <v>815</v>
      </c>
      <c r="E193" t="s">
        <v>449</v>
      </c>
      <c r="F193">
        <v>550</v>
      </c>
      <c r="G193" t="s">
        <v>839</v>
      </c>
      <c r="H193">
        <v>40</v>
      </c>
      <c r="I193">
        <v>40</v>
      </c>
    </row>
  </sheetData>
  <sortState ref="B56:P116">
    <sortCondition ref="B43"/>
  </sortState>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dimension ref="A2:I1276"/>
  <sheetViews>
    <sheetView topLeftCell="A34" workbookViewId="0">
      <selection activeCell="B5" sqref="B5"/>
    </sheetView>
  </sheetViews>
  <sheetFormatPr defaultRowHeight="15"/>
  <cols>
    <col min="1" max="2" width="27.28515625" customWidth="1"/>
    <col min="3" max="3" width="14.5703125" customWidth="1"/>
    <col min="4" max="4" width="16.85546875" customWidth="1"/>
    <col min="5" max="5" width="11.7109375" customWidth="1"/>
    <col min="6" max="6" width="13.140625" customWidth="1"/>
    <col min="7" max="7" width="12.42578125" customWidth="1"/>
    <col min="8" max="8" width="11.5703125" customWidth="1"/>
  </cols>
  <sheetData>
    <row r="2" spans="1:9">
      <c r="A2" s="1" t="s">
        <v>852</v>
      </c>
      <c r="B2" s="66" t="s">
        <v>964</v>
      </c>
    </row>
    <row r="3" spans="1:9">
      <c r="A3" s="1" t="s">
        <v>853</v>
      </c>
      <c r="B3" s="66">
        <v>1</v>
      </c>
    </row>
    <row r="4" spans="1:9">
      <c r="A4" s="1" t="s">
        <v>855</v>
      </c>
      <c r="B4" s="66" t="s">
        <v>93</v>
      </c>
      <c r="D4" s="3"/>
    </row>
    <row r="5" spans="1:9">
      <c r="A5" s="1" t="s">
        <v>856</v>
      </c>
      <c r="B5" s="1">
        <f>SUM(H16:H64)</f>
        <v>0</v>
      </c>
    </row>
    <row r="6" spans="1:9">
      <c r="A6" s="1" t="s">
        <v>861</v>
      </c>
      <c r="B6" s="1">
        <v>1</v>
      </c>
    </row>
    <row r="7" spans="1:9">
      <c r="A7" s="1" t="s">
        <v>966</v>
      </c>
      <c r="B7" s="1" t="s">
        <v>967</v>
      </c>
    </row>
    <row r="8" spans="1:9" ht="15.75" thickBot="1"/>
    <row r="9" spans="1:9" ht="16.5" thickTop="1" thickBot="1">
      <c r="A9" s="197" t="s">
        <v>374</v>
      </c>
      <c r="B9" s="197">
        <f>C208+(C209*(B3-1))+SUM(I16:I64)+(B6*SUM(G208:G209))</f>
        <v>500</v>
      </c>
    </row>
    <row r="10" spans="1:9" ht="16.5" thickTop="1" thickBot="1">
      <c r="A10" s="197" t="s">
        <v>530</v>
      </c>
      <c r="B10" s="197">
        <f>B9-B11</f>
        <v>0</v>
      </c>
      <c r="C10" s="198">
        <f>B10/B9</f>
        <v>0</v>
      </c>
    </row>
    <row r="11" spans="1:9" ht="16.5" thickTop="1" thickBot="1">
      <c r="A11" s="197" t="s">
        <v>857</v>
      </c>
      <c r="B11" s="197">
        <f>Настройки!N35</f>
        <v>500</v>
      </c>
    </row>
    <row r="12" spans="1:9" ht="15.75" thickTop="1"/>
    <row r="14" spans="1:9" ht="15.75" thickBot="1"/>
    <row r="15" spans="1:9" ht="16.5" thickTop="1" thickBot="1">
      <c r="A15" s="66" t="s">
        <v>845</v>
      </c>
      <c r="B15" s="66" t="s">
        <v>846</v>
      </c>
      <c r="C15" s="66" t="s">
        <v>847</v>
      </c>
      <c r="D15" s="66" t="s">
        <v>848</v>
      </c>
      <c r="E15" s="66" t="s">
        <v>850</v>
      </c>
      <c r="F15" s="66" t="s">
        <v>851</v>
      </c>
      <c r="G15" s="197" t="s">
        <v>374</v>
      </c>
      <c r="H15" s="66" t="s">
        <v>527</v>
      </c>
      <c r="I15" s="197" t="s">
        <v>858</v>
      </c>
    </row>
    <row r="16" spans="1:9" ht="16.5" thickTop="1" thickBot="1">
      <c r="A16" s="1" t="str">
        <f>Аксессуры!A144</f>
        <v xml:space="preserve">Автоматическая оснастка </v>
      </c>
      <c r="B16" s="1" t="str">
        <f>Аксессуры!B144</f>
        <v>Trodat Printy 3</v>
      </c>
      <c r="C16" s="1">
        <f>Аксессуры!C144</f>
        <v>4908</v>
      </c>
      <c r="D16" s="1" t="str">
        <f>Аксессуры!G144</f>
        <v>прямоугольная</v>
      </c>
      <c r="E16" s="1">
        <f>Аксессуры!H144</f>
        <v>14</v>
      </c>
      <c r="F16" s="1">
        <f>Аксессуры!I144</f>
        <v>8</v>
      </c>
      <c r="G16" s="1">
        <f>CEILING(Аксессуры!F144*Настройки!$P$32,5)</f>
        <v>310</v>
      </c>
      <c r="H16" s="66">
        <v>0</v>
      </c>
      <c r="I16" s="197" t="str">
        <f>IF(H16&gt;0,G16*H16," ")</f>
        <v xml:space="preserve"> </v>
      </c>
    </row>
    <row r="17" spans="1:9" ht="16.5" thickTop="1" thickBot="1">
      <c r="A17" s="1" t="str">
        <f>Аксессуры!A145</f>
        <v xml:space="preserve">Автоматическая оснастка </v>
      </c>
      <c r="B17" s="1" t="str">
        <f>Аксессуры!B146</f>
        <v>Colop</v>
      </c>
      <c r="C17" s="1" t="str">
        <f>Аксессуры!C146</f>
        <v>Printer-10</v>
      </c>
      <c r="D17" s="1" t="str">
        <f>Аксессуры!G145</f>
        <v>прямоугольная</v>
      </c>
      <c r="E17" s="1">
        <f>Аксессуры!H146</f>
        <v>27</v>
      </c>
      <c r="F17" s="1">
        <f>Аксессуры!I146</f>
        <v>10</v>
      </c>
      <c r="G17" s="1">
        <f>CEILING(Аксессуры!F146*Настройки!$P$32,5)</f>
        <v>310</v>
      </c>
      <c r="H17" s="66">
        <v>0</v>
      </c>
      <c r="I17" s="197" t="str">
        <f t="shared" ref="I17:I64" si="0">IF(H17&gt;0,G17*H17," ")</f>
        <v xml:space="preserve"> </v>
      </c>
    </row>
    <row r="18" spans="1:9" ht="16.5" thickTop="1" thickBot="1">
      <c r="A18" s="1" t="str">
        <f>Аксессуры!A147</f>
        <v xml:space="preserve">Автоматическая оснастка </v>
      </c>
      <c r="B18" s="1" t="str">
        <f>Аксессуры!B147</f>
        <v>Colop</v>
      </c>
      <c r="C18" s="1" t="str">
        <f>Аксессуры!C147</f>
        <v>Printer-20</v>
      </c>
      <c r="D18" s="1" t="str">
        <f>Аксессуры!G147</f>
        <v>прямоугольная</v>
      </c>
      <c r="E18" s="1">
        <f>Аксессуры!H147</f>
        <v>38</v>
      </c>
      <c r="F18" s="1">
        <f>Аксессуры!I147</f>
        <v>14</v>
      </c>
      <c r="G18" s="1">
        <f>CEILING(Аксессуры!F147*Настройки!$P$32,5)</f>
        <v>310</v>
      </c>
      <c r="H18" s="66">
        <v>0</v>
      </c>
      <c r="I18" s="197" t="str">
        <f t="shared" si="0"/>
        <v xml:space="preserve"> </v>
      </c>
    </row>
    <row r="19" spans="1:9" ht="16.5" thickTop="1" thickBot="1">
      <c r="A19" s="1" t="str">
        <f>Аксессуры!A148</f>
        <v xml:space="preserve">Автоматическая оснастка </v>
      </c>
      <c r="B19" s="1" t="str">
        <f>Аксессуры!B148</f>
        <v>Colop</v>
      </c>
      <c r="C19" s="1" t="str">
        <f>Аксессуры!C148</f>
        <v>Printer-30</v>
      </c>
      <c r="D19" s="1" t="str">
        <f>Аксессуры!G148</f>
        <v>прямоугольная</v>
      </c>
      <c r="E19" s="1">
        <f>Аксессуры!H148</f>
        <v>47</v>
      </c>
      <c r="F19" s="1">
        <f>Аксессуры!I148</f>
        <v>18</v>
      </c>
      <c r="G19" s="1">
        <f>CEILING(Аксессуры!F148*Настройки!$P$32,5)</f>
        <v>340</v>
      </c>
      <c r="H19" s="66">
        <v>0</v>
      </c>
      <c r="I19" s="197" t="str">
        <f t="shared" si="0"/>
        <v xml:space="preserve"> </v>
      </c>
    </row>
    <row r="20" spans="1:9" ht="16.5" thickTop="1" thickBot="1">
      <c r="A20" s="1" t="str">
        <f>Аксессуры!A149</f>
        <v xml:space="preserve">Автоматическая оснастка </v>
      </c>
      <c r="B20" s="1" t="str">
        <f>Аксессуры!B149</f>
        <v>Trodat Printy 3</v>
      </c>
      <c r="C20" s="1">
        <f>Аксессуры!C149</f>
        <v>4913</v>
      </c>
      <c r="D20" s="1" t="str">
        <f>Аксессуры!G149</f>
        <v>прямоугольная</v>
      </c>
      <c r="E20" s="1">
        <f>Аксессуры!H149</f>
        <v>58</v>
      </c>
      <c r="F20" s="1">
        <f>Аксессуры!I149</f>
        <v>22</v>
      </c>
      <c r="G20" s="1">
        <f>CEILING(Аксессуры!F149*Настройки!$P$32,5)</f>
        <v>520</v>
      </c>
      <c r="H20" s="66">
        <v>0</v>
      </c>
      <c r="I20" s="197" t="str">
        <f t="shared" si="0"/>
        <v xml:space="preserve"> </v>
      </c>
    </row>
    <row r="21" spans="1:9" ht="16.5" thickTop="1" thickBot="1">
      <c r="A21" s="1" t="str">
        <f>Аксессуры!A150</f>
        <v xml:space="preserve">Автоматическая оснастка </v>
      </c>
      <c r="B21" s="1" t="str">
        <f>Аксессуры!B150</f>
        <v>Trodat Printy 3</v>
      </c>
      <c r="C21" s="1">
        <f>Аксессуры!C150</f>
        <v>4915</v>
      </c>
      <c r="D21" s="1" t="str">
        <f>Аксессуры!G150</f>
        <v>прямоугольная</v>
      </c>
      <c r="E21" s="1">
        <f>Аксессуры!H150</f>
        <v>70</v>
      </c>
      <c r="F21" s="1">
        <f>Аксессуры!I150</f>
        <v>25</v>
      </c>
      <c r="G21" s="1">
        <f>CEILING(Аксессуры!F150*Настройки!$P$32,5)</f>
        <v>715</v>
      </c>
      <c r="H21" s="66">
        <v>0</v>
      </c>
      <c r="I21" s="197" t="str">
        <f t="shared" si="0"/>
        <v xml:space="preserve"> </v>
      </c>
    </row>
    <row r="22" spans="1:9" ht="16.5" thickTop="1" thickBot="1">
      <c r="A22" s="1" t="str">
        <f>Аксессуры!A151</f>
        <v xml:space="preserve">Автоматическая оснастка </v>
      </c>
      <c r="B22" s="1" t="str">
        <f>Аксессуры!B151</f>
        <v>Colop</v>
      </c>
      <c r="C22" s="1" t="str">
        <f>Аксессуры!C151</f>
        <v>Printer-60</v>
      </c>
      <c r="D22" s="1" t="str">
        <f>Аксессуры!G151</f>
        <v>прямоугольная</v>
      </c>
      <c r="E22" s="1">
        <f>Аксессуры!H151</f>
        <v>76</v>
      </c>
      <c r="F22" s="1">
        <f>Аксессуры!I151</f>
        <v>37</v>
      </c>
      <c r="G22" s="1">
        <f>CEILING(Аксессуры!F151*Настройки!$P$32,5)</f>
        <v>680</v>
      </c>
      <c r="H22" s="66">
        <v>0</v>
      </c>
      <c r="I22" s="197" t="str">
        <f t="shared" si="0"/>
        <v xml:space="preserve"> </v>
      </c>
    </row>
    <row r="23" spans="1:9" ht="16.5" thickTop="1" thickBot="1">
      <c r="A23" s="1" t="str">
        <f>Аксессуры!A152</f>
        <v xml:space="preserve">Автоматическая оснастка </v>
      </c>
      <c r="B23" s="1" t="str">
        <f>Аксессуры!B152</f>
        <v>Trodat Printy 3</v>
      </c>
      <c r="C23" s="1">
        <f>Аксессуры!C152</f>
        <v>4925</v>
      </c>
      <c r="D23" s="1" t="str">
        <f>Аксессуры!G152</f>
        <v>прямоугольная</v>
      </c>
      <c r="E23" s="1">
        <f>Аксессуры!H152</f>
        <v>82</v>
      </c>
      <c r="F23" s="1">
        <f>Аксессуры!I152</f>
        <v>25</v>
      </c>
      <c r="G23" s="1">
        <f>CEILING(Аксессуры!F152*Настройки!$P$32,5)</f>
        <v>790</v>
      </c>
      <c r="H23" s="66">
        <f t="shared" ref="H23:H64" si="1">SUM(N32:N67)</f>
        <v>0</v>
      </c>
      <c r="I23" s="197" t="str">
        <f t="shared" si="0"/>
        <v xml:space="preserve"> </v>
      </c>
    </row>
    <row r="24" spans="1:9" ht="16.5" thickTop="1" thickBot="1">
      <c r="A24" s="1" t="str">
        <f>Аксессуры!A153</f>
        <v xml:space="preserve">Автоматическая оснастка </v>
      </c>
      <c r="B24" s="1" t="str">
        <f>Аксессуры!B153</f>
        <v>Trodat Printy 3</v>
      </c>
      <c r="C24" s="1">
        <f>Аксессуры!C153</f>
        <v>4926</v>
      </c>
      <c r="D24" s="1" t="str">
        <f>Аксессуры!G153</f>
        <v>прямоугольная</v>
      </c>
      <c r="E24" s="1">
        <f>Аксессуры!H153</f>
        <v>75</v>
      </c>
      <c r="F24" s="1">
        <f>Аксессуры!I153</f>
        <v>38</v>
      </c>
      <c r="G24" s="1">
        <f>CEILING(Аксессуры!F153*Настройки!$P$32,5)</f>
        <v>755</v>
      </c>
      <c r="H24" s="66">
        <f t="shared" si="1"/>
        <v>0</v>
      </c>
      <c r="I24" s="197" t="str">
        <f t="shared" si="0"/>
        <v xml:space="preserve"> </v>
      </c>
    </row>
    <row r="25" spans="1:9" ht="16.5" thickTop="1" thickBot="1">
      <c r="A25" s="1" t="str">
        <f>Аксессуры!A154</f>
        <v xml:space="preserve">Автоматическая оснастка </v>
      </c>
      <c r="B25" s="1" t="str">
        <f>Аксессуры!B154</f>
        <v>Trodat Printy 3</v>
      </c>
      <c r="C25" s="1">
        <f>Аксессуры!C154</f>
        <v>4927</v>
      </c>
      <c r="D25" s="1" t="str">
        <f>Аксессуры!G154</f>
        <v>прямоугольная</v>
      </c>
      <c r="E25" s="1">
        <f>Аксессуры!H154</f>
        <v>60</v>
      </c>
      <c r="F25" s="1">
        <f>Аксессуры!I154</f>
        <v>40</v>
      </c>
      <c r="G25" s="1">
        <f>CEILING(Аксессуры!F154*Настройки!$P$32,5)</f>
        <v>715</v>
      </c>
      <c r="H25" s="66">
        <f t="shared" si="1"/>
        <v>0</v>
      </c>
      <c r="I25" s="197" t="str">
        <f t="shared" si="0"/>
        <v xml:space="preserve"> </v>
      </c>
    </row>
    <row r="26" spans="1:9" ht="16.5" thickTop="1" thickBot="1">
      <c r="A26" s="1" t="str">
        <f>Аксессуры!A155</f>
        <v xml:space="preserve">Автоматическая оснастка </v>
      </c>
      <c r="B26" s="1" t="str">
        <f>Аксессуры!B155</f>
        <v>Trodat Printy 3</v>
      </c>
      <c r="C26" s="1">
        <f>Аксессуры!C155</f>
        <v>4928</v>
      </c>
      <c r="D26" s="1" t="str">
        <f>Аксессуры!G155</f>
        <v>прямоугольная</v>
      </c>
      <c r="E26" s="1">
        <f>Аксессуры!H155</f>
        <v>60</v>
      </c>
      <c r="F26" s="1">
        <f>Аксессуры!I155</f>
        <v>33</v>
      </c>
      <c r="G26" s="1">
        <f>CEILING(Аксессуры!F155*Настройки!$P$32,5)</f>
        <v>675</v>
      </c>
      <c r="H26" s="66">
        <f t="shared" si="1"/>
        <v>0</v>
      </c>
      <c r="I26" s="197" t="str">
        <f t="shared" si="0"/>
        <v xml:space="preserve"> </v>
      </c>
    </row>
    <row r="27" spans="1:9" ht="16.5" thickTop="1" thickBot="1">
      <c r="A27" s="1" t="str">
        <f>Аксессуры!A156</f>
        <v xml:space="preserve">Автоматическая оснастка </v>
      </c>
      <c r="B27" s="1" t="str">
        <f>Аксессуры!B156</f>
        <v>Trodat Printy 3</v>
      </c>
      <c r="C27" s="1">
        <f>Аксессуры!C156</f>
        <v>4929</v>
      </c>
      <c r="D27" s="1" t="str">
        <f>Аксессуры!G156</f>
        <v>прямоугольная</v>
      </c>
      <c r="E27" s="1">
        <f>Аксессуры!H156</f>
        <v>50</v>
      </c>
      <c r="F27" s="1">
        <f>Аксессуры!I156</f>
        <v>30</v>
      </c>
      <c r="G27" s="1">
        <f>CEILING(Аксессуры!F156*Настройки!$P$32,5)</f>
        <v>635</v>
      </c>
      <c r="H27" s="66">
        <f t="shared" si="1"/>
        <v>0</v>
      </c>
      <c r="I27" s="197" t="str">
        <f t="shared" si="0"/>
        <v xml:space="preserve"> </v>
      </c>
    </row>
    <row r="28" spans="1:9" ht="16.5" thickTop="1" thickBot="1">
      <c r="A28" s="1" t="str">
        <f>Аксессуры!A157</f>
        <v xml:space="preserve">Автоматическая оснастка </v>
      </c>
      <c r="B28" s="1" t="str">
        <f>Аксессуры!B157</f>
        <v>Trodat Printy 3</v>
      </c>
      <c r="C28" s="1">
        <f>Аксессуры!C157</f>
        <v>4931</v>
      </c>
      <c r="D28" s="1" t="str">
        <f>Аксессуры!G157</f>
        <v>прямоугольная</v>
      </c>
      <c r="E28" s="1">
        <f>Аксессуры!H157</f>
        <v>70</v>
      </c>
      <c r="F28" s="1">
        <f>Аксессуры!I157</f>
        <v>30</v>
      </c>
      <c r="G28" s="1">
        <f>CEILING(Аксессуры!F157*Настройки!$P$32,5)</f>
        <v>745</v>
      </c>
      <c r="H28" s="66">
        <f t="shared" si="1"/>
        <v>0</v>
      </c>
      <c r="I28" s="197" t="str">
        <f t="shared" si="0"/>
        <v xml:space="preserve"> </v>
      </c>
    </row>
    <row r="29" spans="1:9" ht="16.5" thickTop="1" thickBot="1">
      <c r="A29" s="1" t="str">
        <f>Аксессуры!A158</f>
        <v xml:space="preserve">Автоматическая оснастка </v>
      </c>
      <c r="B29" s="1" t="str">
        <f>Аксессуры!B158</f>
        <v>Trodat Printy 3</v>
      </c>
      <c r="C29" s="1">
        <f>Аксессуры!C158</f>
        <v>46019</v>
      </c>
      <c r="D29" s="1" t="str">
        <f>Аксессуры!G158</f>
        <v>круглая</v>
      </c>
      <c r="E29" s="1">
        <f>Аксессуры!H158</f>
        <v>19</v>
      </c>
      <c r="F29" s="1">
        <f>Аксессуры!I158</f>
        <v>19</v>
      </c>
      <c r="G29" s="1">
        <f>CEILING(Аксессуры!F158*Настройки!$P$32,5)</f>
        <v>385</v>
      </c>
      <c r="H29" s="66">
        <f t="shared" si="1"/>
        <v>0</v>
      </c>
      <c r="I29" s="197" t="str">
        <f t="shared" si="0"/>
        <v xml:space="preserve"> </v>
      </c>
    </row>
    <row r="30" spans="1:9" ht="16.5" thickTop="1" thickBot="1">
      <c r="A30" s="1" t="str">
        <f>Аксессуры!A159</f>
        <v xml:space="preserve">Автоматическая оснастка </v>
      </c>
      <c r="B30" s="1" t="str">
        <f>Аксессуры!B159</f>
        <v>Trodat Printy 3</v>
      </c>
      <c r="C30" s="1">
        <f>Аксессуры!C159</f>
        <v>46025</v>
      </c>
      <c r="D30" s="1" t="str">
        <f>Аксессуры!G159</f>
        <v>круглая</v>
      </c>
      <c r="E30" s="1">
        <f>Аксессуры!H159</f>
        <v>25</v>
      </c>
      <c r="F30" s="1">
        <f>Аксессуры!I159</f>
        <v>25</v>
      </c>
      <c r="G30" s="1">
        <f>CEILING(Аксессуры!F159*Настройки!$P$32,5)</f>
        <v>435</v>
      </c>
      <c r="H30" s="66">
        <v>0</v>
      </c>
      <c r="I30" s="197" t="str">
        <f t="shared" si="0"/>
        <v xml:space="preserve"> </v>
      </c>
    </row>
    <row r="31" spans="1:9" ht="16.5" thickTop="1" thickBot="1">
      <c r="A31" s="1" t="str">
        <f>Аксессуры!A160</f>
        <v xml:space="preserve">Автоматическая оснастка </v>
      </c>
      <c r="B31" s="1" t="str">
        <f>Аксессуры!B160</f>
        <v>Colop</v>
      </c>
      <c r="C31" s="257" t="str">
        <f>Аксессуры!C160</f>
        <v>R-30</v>
      </c>
      <c r="D31" s="1" t="str">
        <f>Аксессуры!G160</f>
        <v>круглая</v>
      </c>
      <c r="E31" s="1">
        <f>Аксессуры!H160</f>
        <v>30</v>
      </c>
      <c r="F31" s="1">
        <f>Аксессуры!I160</f>
        <v>30</v>
      </c>
      <c r="G31" s="1">
        <f>CEILING(Аксессуры!F160*Настройки!$P$32,5)</f>
        <v>565</v>
      </c>
      <c r="H31" s="66">
        <f t="shared" si="1"/>
        <v>0</v>
      </c>
      <c r="I31" s="197" t="str">
        <f t="shared" si="0"/>
        <v xml:space="preserve"> </v>
      </c>
    </row>
    <row r="32" spans="1:9" ht="16.5" thickTop="1" thickBot="1">
      <c r="A32" s="1" t="str">
        <f>Аксессуры!A161</f>
        <v xml:space="preserve">Автоматическая оснастка </v>
      </c>
      <c r="B32" s="1" t="str">
        <f>Аксессуры!B161</f>
        <v>Colop</v>
      </c>
      <c r="C32" s="257" t="str">
        <f>Аксессуры!C161</f>
        <v>R-40</v>
      </c>
      <c r="D32" s="1" t="str">
        <f>Аксессуры!G161</f>
        <v>круглая</v>
      </c>
      <c r="E32" s="1">
        <f>Аксессуры!H161</f>
        <v>40</v>
      </c>
      <c r="F32" s="1">
        <f>Аксессуры!I161</f>
        <v>40</v>
      </c>
      <c r="G32" s="1">
        <f>CEILING(Аксессуры!F161*Настройки!$P$32,5)</f>
        <v>510</v>
      </c>
      <c r="H32" s="66">
        <v>0</v>
      </c>
      <c r="I32" s="197" t="str">
        <f t="shared" si="0"/>
        <v xml:space="preserve"> </v>
      </c>
    </row>
    <row r="33" spans="1:9" ht="16.5" thickTop="1" thickBot="1">
      <c r="A33" s="1" t="str">
        <f>Аксессуры!A162</f>
        <v xml:space="preserve">Автоматическая оснастка </v>
      </c>
      <c r="B33" s="1" t="str">
        <f>Аксессуры!B162</f>
        <v>Trodat Printy 3</v>
      </c>
      <c r="C33" s="1">
        <f>Аксессуры!C162</f>
        <v>46045</v>
      </c>
      <c r="D33" s="1" t="str">
        <f>Аксессуры!G162</f>
        <v>круглая</v>
      </c>
      <c r="E33" s="1">
        <f>Аксессуры!H162</f>
        <v>45</v>
      </c>
      <c r="F33" s="1">
        <f>Аксессуры!I162</f>
        <v>45</v>
      </c>
      <c r="G33" s="1">
        <f>CEILING(Аксессуры!F162*Настройки!$P$32,5)</f>
        <v>530</v>
      </c>
      <c r="H33" s="66">
        <f t="shared" si="1"/>
        <v>0</v>
      </c>
      <c r="I33" s="197" t="str">
        <f t="shared" si="0"/>
        <v xml:space="preserve"> </v>
      </c>
    </row>
    <row r="34" spans="1:9" ht="16.5" thickTop="1" thickBot="1">
      <c r="A34" s="1" t="str">
        <f>Аксессуры!A163</f>
        <v xml:space="preserve">Автоматическая оснастка </v>
      </c>
      <c r="B34" s="1" t="str">
        <f>Аксессуры!B163</f>
        <v>Trodat Printy 3</v>
      </c>
      <c r="C34" s="1">
        <f>Аксессуры!C163</f>
        <v>44055</v>
      </c>
      <c r="D34" s="1" t="str">
        <f>Аксессуры!G163</f>
        <v>прямоугольная</v>
      </c>
      <c r="E34" s="1">
        <f>Аксессуры!H163</f>
        <v>55</v>
      </c>
      <c r="F34" s="1">
        <f>Аксессуры!I163</f>
        <v>35</v>
      </c>
      <c r="G34" s="1">
        <f>CEILING(Аксессуры!F163*Настройки!$P$32,5)</f>
        <v>790</v>
      </c>
      <c r="H34" s="66">
        <f t="shared" si="1"/>
        <v>0</v>
      </c>
      <c r="I34" s="197" t="str">
        <f t="shared" si="0"/>
        <v xml:space="preserve"> </v>
      </c>
    </row>
    <row r="35" spans="1:9" ht="16.5" thickTop="1" thickBot="1">
      <c r="A35" s="1" t="str">
        <f>Аксессуры!A164</f>
        <v xml:space="preserve">Автоматическая оснастка </v>
      </c>
      <c r="B35" s="1" t="str">
        <f>Аксессуры!B164</f>
        <v>Colop</v>
      </c>
      <c r="C35" s="1" t="str">
        <f>Аксессуры!C164</f>
        <v>Printer-25</v>
      </c>
      <c r="D35" s="1" t="str">
        <f>Аксессуры!G164</f>
        <v>прямоугольная</v>
      </c>
      <c r="E35" s="1">
        <f>Аксессуры!H164</f>
        <v>75</v>
      </c>
      <c r="F35" s="1">
        <f>Аксессуры!I164</f>
        <v>15</v>
      </c>
      <c r="G35" s="1">
        <f>CEILING(Аксессуры!F164*Настройки!$P$32,5)</f>
        <v>680</v>
      </c>
      <c r="H35" s="66">
        <f t="shared" si="1"/>
        <v>0</v>
      </c>
      <c r="I35" s="197" t="str">
        <f t="shared" si="0"/>
        <v xml:space="preserve"> </v>
      </c>
    </row>
    <row r="36" spans="1:9" ht="16.5" thickTop="1" thickBot="1">
      <c r="A36" s="1" t="str">
        <f>Аксессуры!A165</f>
        <v xml:space="preserve">Автоматическая оснастка </v>
      </c>
      <c r="B36" s="1" t="str">
        <f>Аксессуры!B165</f>
        <v>Trodat Printy</v>
      </c>
      <c r="C36" s="1">
        <f>Аксессуры!C165</f>
        <v>4917</v>
      </c>
      <c r="D36" s="1" t="str">
        <f>Аксессуры!G165</f>
        <v>прямоугольная</v>
      </c>
      <c r="E36" s="1">
        <f>Аксессуры!H165</f>
        <v>50</v>
      </c>
      <c r="F36" s="1">
        <f>Аксессуры!I165</f>
        <v>10</v>
      </c>
      <c r="G36" s="1">
        <f>CEILING(Аксессуры!F165*Настройки!$P$32,5)</f>
        <v>460</v>
      </c>
      <c r="H36" s="66">
        <f t="shared" si="1"/>
        <v>0</v>
      </c>
      <c r="I36" s="197" t="str">
        <f t="shared" si="0"/>
        <v xml:space="preserve"> </v>
      </c>
    </row>
    <row r="37" spans="1:9" ht="16.5" thickTop="1" thickBot="1">
      <c r="A37" s="1" t="str">
        <f>Аксессуры!A166</f>
        <v xml:space="preserve">Автоматическая оснастка </v>
      </c>
      <c r="B37" s="1" t="str">
        <f>Аксессуры!B166</f>
        <v>Trodat Printy</v>
      </c>
      <c r="C37" s="1">
        <f>Аксессуры!C166</f>
        <v>4921</v>
      </c>
      <c r="D37" s="1" t="str">
        <f>Аксессуры!G166</f>
        <v>прямоугольная</v>
      </c>
      <c r="E37" s="1">
        <f>Аксессуры!H166</f>
        <v>12</v>
      </c>
      <c r="F37" s="1">
        <f>Аксессуры!I166</f>
        <v>12</v>
      </c>
      <c r="G37" s="1">
        <f>CEILING(Аксессуры!F166*Настройки!$P$32,5)</f>
        <v>390</v>
      </c>
      <c r="H37" s="66">
        <f t="shared" si="1"/>
        <v>0</v>
      </c>
      <c r="I37" s="197" t="str">
        <f t="shared" si="0"/>
        <v xml:space="preserve"> </v>
      </c>
    </row>
    <row r="38" spans="1:9" ht="16.5" thickTop="1" thickBot="1">
      <c r="A38" s="1" t="str">
        <f>Аксессуры!A167</f>
        <v xml:space="preserve">Автоматическая оснастка </v>
      </c>
      <c r="B38" s="1" t="str">
        <f>Аксессуры!B167</f>
        <v>Trodat Printy</v>
      </c>
      <c r="C38" s="1">
        <f>Аксессуры!C167</f>
        <v>4922</v>
      </c>
      <c r="D38" s="1" t="str">
        <f>Аксессуры!G167</f>
        <v>прямоугольная</v>
      </c>
      <c r="E38" s="1">
        <f>Аксессуры!H167</f>
        <v>20</v>
      </c>
      <c r="F38" s="1">
        <f>Аксессуры!I167</f>
        <v>20</v>
      </c>
      <c r="G38" s="1">
        <f>CEILING(Аксессуры!F167*Настройки!$P$32,5)</f>
        <v>460</v>
      </c>
      <c r="H38" s="66">
        <f t="shared" si="1"/>
        <v>0</v>
      </c>
      <c r="I38" s="197" t="str">
        <f t="shared" si="0"/>
        <v xml:space="preserve"> </v>
      </c>
    </row>
    <row r="39" spans="1:9" ht="16.5" thickTop="1" thickBot="1">
      <c r="A39" s="1" t="str">
        <f>Аксессуры!A168</f>
        <v xml:space="preserve">Автоматическая оснастка </v>
      </c>
      <c r="B39" s="1" t="str">
        <f>Аксессуры!B168</f>
        <v>Trodat Printy</v>
      </c>
      <c r="C39" s="1">
        <f>Аксессуры!C168</f>
        <v>4923</v>
      </c>
      <c r="D39" s="1" t="str">
        <f>Аксессуры!G168</f>
        <v>прямоугольная</v>
      </c>
      <c r="E39" s="1">
        <f>Аксессуры!H168</f>
        <v>30</v>
      </c>
      <c r="F39" s="1">
        <f>Аксессуры!I168</f>
        <v>30</v>
      </c>
      <c r="G39" s="1">
        <f>CEILING(Аксессуры!F168*Настройки!$P$32,5)</f>
        <v>505</v>
      </c>
      <c r="H39" s="66">
        <v>0</v>
      </c>
      <c r="I39" s="197" t="str">
        <f t="shared" si="0"/>
        <v xml:space="preserve"> </v>
      </c>
    </row>
    <row r="40" spans="1:9" ht="16.5" thickTop="1" thickBot="1">
      <c r="A40" s="1" t="str">
        <f>Аксессуры!A169</f>
        <v xml:space="preserve">Автоматическая оснастка </v>
      </c>
      <c r="B40" s="1" t="str">
        <f>Аксессуры!B169</f>
        <v>Trodat Printy</v>
      </c>
      <c r="C40" s="1">
        <f>Аксессуры!C169</f>
        <v>4924</v>
      </c>
      <c r="D40" s="1" t="str">
        <f>Аксессуры!G169</f>
        <v>прямоугольная</v>
      </c>
      <c r="E40" s="1">
        <f>Аксессуры!H169</f>
        <v>40</v>
      </c>
      <c r="F40" s="1">
        <f>Аксессуры!I169</f>
        <v>40</v>
      </c>
      <c r="G40" s="1">
        <f>CEILING(Аксессуры!F169*Настройки!$P$32,5)</f>
        <v>465</v>
      </c>
      <c r="H40" s="66">
        <f t="shared" si="1"/>
        <v>0</v>
      </c>
      <c r="I40" s="197" t="str">
        <f t="shared" si="0"/>
        <v xml:space="preserve"> </v>
      </c>
    </row>
    <row r="41" spans="1:9" ht="16.5" thickTop="1" thickBot="1">
      <c r="A41" s="1" t="str">
        <f>Аксессуры!A170</f>
        <v xml:space="preserve">Автоматическая оснастка </v>
      </c>
      <c r="B41" s="1" t="str">
        <f>Аксессуры!B170</f>
        <v>Colop</v>
      </c>
      <c r="C41" s="257" t="str">
        <f>Аксессуры!C170</f>
        <v>T45</v>
      </c>
      <c r="D41" s="1" t="str">
        <f>Аксессуры!G170</f>
        <v>треугольная</v>
      </c>
      <c r="E41" s="1">
        <f>Аксессуры!H170</f>
        <v>45</v>
      </c>
      <c r="F41" s="1">
        <f>Аксессуры!I170</f>
        <v>45</v>
      </c>
      <c r="G41" s="1">
        <f>CEILING(Аксессуры!F170*Настройки!$P$32,5)</f>
        <v>680</v>
      </c>
      <c r="H41" s="66">
        <v>0</v>
      </c>
      <c r="I41" s="197" t="str">
        <f t="shared" si="0"/>
        <v xml:space="preserve"> </v>
      </c>
    </row>
    <row r="42" spans="1:9" ht="16.5" thickTop="1" thickBot="1">
      <c r="A42" s="1" t="str">
        <f>Аксессуры!A171</f>
        <v xml:space="preserve">Автоматическая оснастка </v>
      </c>
      <c r="B42" s="1" t="str">
        <f>Аксессуры!B171</f>
        <v>Trodat Printy</v>
      </c>
      <c r="C42" s="1">
        <f>Аксессуры!C171</f>
        <v>4941</v>
      </c>
      <c r="D42" s="1" t="str">
        <f>Аксессуры!G171</f>
        <v>прямоугольная</v>
      </c>
      <c r="E42" s="1">
        <f>Аксессуры!H171</f>
        <v>41</v>
      </c>
      <c r="F42" s="1">
        <f>Аксессуры!I171</f>
        <v>24</v>
      </c>
      <c r="G42" s="1">
        <f>CEILING(Аксессуры!F171*Настройки!$P$32,5)</f>
        <v>555</v>
      </c>
      <c r="H42" s="66">
        <f t="shared" si="1"/>
        <v>0</v>
      </c>
      <c r="I42" s="197" t="str">
        <f t="shared" si="0"/>
        <v xml:space="preserve"> </v>
      </c>
    </row>
    <row r="43" spans="1:9" ht="16.5" thickTop="1" thickBot="1">
      <c r="A43" s="1" t="str">
        <f>Аксессуры!A172</f>
        <v xml:space="preserve">Автоматическая оснастка </v>
      </c>
      <c r="B43" s="1" t="str">
        <f>Аксессуры!B172</f>
        <v>Trodat Professional Line</v>
      </c>
      <c r="C43" s="1">
        <f>Аксессуры!C172</f>
        <v>5200</v>
      </c>
      <c r="D43" s="1" t="str">
        <f>Аксессуры!G172</f>
        <v>прямоугольная</v>
      </c>
      <c r="E43" s="1">
        <f>Аксессуры!H172</f>
        <v>41</v>
      </c>
      <c r="F43" s="1">
        <f>Аксессуры!I172</f>
        <v>24</v>
      </c>
      <c r="G43" s="1">
        <f>CEILING(Аксессуры!F172*Настройки!$P$32,5)</f>
        <v>1415</v>
      </c>
      <c r="H43" s="66">
        <f t="shared" si="1"/>
        <v>0</v>
      </c>
      <c r="I43" s="197" t="str">
        <f t="shared" si="0"/>
        <v xml:space="preserve"> </v>
      </c>
    </row>
    <row r="44" spans="1:9" ht="16.5" thickTop="1" thickBot="1">
      <c r="A44" s="1" t="str">
        <f>Аксессуры!A173</f>
        <v xml:space="preserve">Автоматическая оснастка </v>
      </c>
      <c r="B44" s="1" t="str">
        <f>Аксессуры!B173</f>
        <v>Trodat Professional Line</v>
      </c>
      <c r="C44" s="1">
        <f>Аксессуры!C173</f>
        <v>5203</v>
      </c>
      <c r="D44" s="1" t="str">
        <f>Аксессуры!G173</f>
        <v>прямоугольная</v>
      </c>
      <c r="E44" s="1">
        <f>Аксессуры!H173</f>
        <v>49</v>
      </c>
      <c r="F44" s="1">
        <f>Аксессуры!I173</f>
        <v>28</v>
      </c>
      <c r="G44" s="1">
        <f>CEILING(Аксессуры!F173*Настройки!$P$32,5)</f>
        <v>1720</v>
      </c>
      <c r="H44" s="66">
        <f t="shared" si="1"/>
        <v>0</v>
      </c>
      <c r="I44" s="197" t="str">
        <f t="shared" si="0"/>
        <v xml:space="preserve"> </v>
      </c>
    </row>
    <row r="45" spans="1:9" ht="16.5" thickTop="1" thickBot="1">
      <c r="A45" s="1" t="str">
        <f>Аксессуры!A174</f>
        <v xml:space="preserve">Автоматическая оснастка </v>
      </c>
      <c r="B45" s="1" t="str">
        <f>Аксессуры!B174</f>
        <v>Trodat Professional Line</v>
      </c>
      <c r="C45" s="1">
        <f>Аксессуры!C174</f>
        <v>5204</v>
      </c>
      <c r="D45" s="1" t="str">
        <f>Аксессуры!G174</f>
        <v>прямоугольная</v>
      </c>
      <c r="E45" s="1">
        <f>Аксессуры!H174</f>
        <v>56</v>
      </c>
      <c r="F45" s="1">
        <f>Аксессуры!I174</f>
        <v>26</v>
      </c>
      <c r="G45" s="1">
        <f>CEILING(Аксессуры!F174*Настройки!$P$32,5)</f>
        <v>1810</v>
      </c>
      <c r="H45" s="66">
        <f t="shared" si="1"/>
        <v>0</v>
      </c>
      <c r="I45" s="197" t="str">
        <f t="shared" si="0"/>
        <v xml:space="preserve"> </v>
      </c>
    </row>
    <row r="46" spans="1:9" ht="16.5" thickTop="1" thickBot="1">
      <c r="A46" s="1" t="str">
        <f>Аксессуры!A175</f>
        <v xml:space="preserve">Автоматическая оснастка </v>
      </c>
      <c r="B46" s="1" t="str">
        <f>Аксессуры!B175</f>
        <v>Trodat Professional Line</v>
      </c>
      <c r="C46" s="1">
        <f>Аксессуры!C175</f>
        <v>5205</v>
      </c>
      <c r="D46" s="1" t="str">
        <f>Аксессуры!G175</f>
        <v>прямоугольная</v>
      </c>
      <c r="E46" s="1">
        <f>Аксессуры!H175</f>
        <v>70</v>
      </c>
      <c r="F46" s="1">
        <f>Аксессуры!I175</f>
        <v>25</v>
      </c>
      <c r="G46" s="1">
        <f>CEILING(Аксессуры!F175*Настройки!$P$32,5)</f>
        <v>1885</v>
      </c>
      <c r="H46" s="66">
        <f t="shared" si="1"/>
        <v>0</v>
      </c>
      <c r="I46" s="197" t="str">
        <f t="shared" si="0"/>
        <v xml:space="preserve"> </v>
      </c>
    </row>
    <row r="47" spans="1:9" ht="16.5" thickTop="1" thickBot="1">
      <c r="A47" s="1" t="str">
        <f>Аксессуры!A176</f>
        <v xml:space="preserve">Автоматическая оснастка </v>
      </c>
      <c r="B47" s="1" t="str">
        <f>Аксессуры!B176</f>
        <v>Trodat Professional Line</v>
      </c>
      <c r="C47" s="1">
        <f>Аксессуры!C176</f>
        <v>5206</v>
      </c>
      <c r="D47" s="1" t="str">
        <f>Аксессуры!G176</f>
        <v>прямоугольная</v>
      </c>
      <c r="E47" s="1">
        <f>Аксессуры!H176</f>
        <v>56</v>
      </c>
      <c r="F47" s="1">
        <f>Аксессуры!I176</f>
        <v>33</v>
      </c>
      <c r="G47" s="1">
        <f>CEILING(Аксессуры!F176*Настройки!$P$32,5)</f>
        <v>1860</v>
      </c>
      <c r="H47" s="66">
        <f t="shared" si="1"/>
        <v>0</v>
      </c>
      <c r="I47" s="197" t="str">
        <f t="shared" si="0"/>
        <v xml:space="preserve"> </v>
      </c>
    </row>
    <row r="48" spans="1:9" ht="16.5" thickTop="1" thickBot="1">
      <c r="A48" s="1" t="str">
        <f>Аксессуры!A177</f>
        <v xml:space="preserve">Автоматическая оснастка </v>
      </c>
      <c r="B48" s="1" t="str">
        <f>Аксессуры!B177</f>
        <v>Trodat Professional Line</v>
      </c>
      <c r="C48" s="1">
        <f>Аксессуры!C177</f>
        <v>5207</v>
      </c>
      <c r="D48" s="1" t="str">
        <f>Аксессуры!G177</f>
        <v>прямоугольная</v>
      </c>
      <c r="E48" s="1">
        <f>Аксессуры!H177</f>
        <v>60</v>
      </c>
      <c r="F48" s="1">
        <f>Аксессуры!I177</f>
        <v>40</v>
      </c>
      <c r="G48" s="1">
        <f>CEILING(Аксессуры!F177*Настройки!$P$32,5)</f>
        <v>1935</v>
      </c>
      <c r="H48" s="66">
        <f t="shared" si="1"/>
        <v>0</v>
      </c>
      <c r="I48" s="197" t="str">
        <f t="shared" si="0"/>
        <v xml:space="preserve"> </v>
      </c>
    </row>
    <row r="49" spans="1:9" ht="16.5" thickTop="1" thickBot="1">
      <c r="A49" s="1" t="str">
        <f>Аксессуры!A178</f>
        <v xml:space="preserve">Автоматическая оснастка </v>
      </c>
      <c r="B49" s="1" t="str">
        <f>Аксессуры!B178</f>
        <v>Trodat Professional Line</v>
      </c>
      <c r="C49" s="1">
        <f>Аксессуры!C178</f>
        <v>5208</v>
      </c>
      <c r="D49" s="1" t="str">
        <f>Аксессуры!G178</f>
        <v>прямоугольная</v>
      </c>
      <c r="E49" s="1">
        <f>Аксессуры!H178</f>
        <v>68</v>
      </c>
      <c r="F49" s="1">
        <f>Аксессуры!I178</f>
        <v>47</v>
      </c>
      <c r="G49" s="1">
        <f>CEILING(Аксессуры!F178*Настройки!$P$32,5)</f>
        <v>2800</v>
      </c>
      <c r="H49" s="66">
        <f t="shared" si="1"/>
        <v>0</v>
      </c>
      <c r="I49" s="197" t="str">
        <f t="shared" si="0"/>
        <v xml:space="preserve"> </v>
      </c>
    </row>
    <row r="50" spans="1:9" ht="16.5" thickTop="1" thickBot="1">
      <c r="A50" s="1" t="str">
        <f>Аксессуры!A179</f>
        <v xml:space="preserve">Автоматическая оснастка </v>
      </c>
      <c r="B50" s="1" t="str">
        <f>Аксессуры!B179</f>
        <v>Trodat Professional Line</v>
      </c>
      <c r="C50" s="1">
        <f>Аксессуры!C179</f>
        <v>5211</v>
      </c>
      <c r="D50" s="1" t="str">
        <f>Аксессуры!G179</f>
        <v>прямоугольная</v>
      </c>
      <c r="E50" s="1">
        <f>Аксессуры!H179</f>
        <v>85</v>
      </c>
      <c r="F50" s="1">
        <f>Аксессуры!I179</f>
        <v>55</v>
      </c>
      <c r="G50" s="1">
        <f>CEILING(Аксессуры!F179*Настройки!$P$32,5)</f>
        <v>3385</v>
      </c>
      <c r="H50" s="66">
        <f t="shared" si="1"/>
        <v>0</v>
      </c>
      <c r="I50" s="197" t="str">
        <f t="shared" si="0"/>
        <v xml:space="preserve"> </v>
      </c>
    </row>
    <row r="51" spans="1:9" ht="16.5" thickTop="1" thickBot="1">
      <c r="A51" s="1" t="str">
        <f>Аксессуры!A180</f>
        <v xml:space="preserve">Автоматическая оснастка </v>
      </c>
      <c r="B51" s="1" t="str">
        <f>Аксессуры!B180</f>
        <v>Trodat Professional Line</v>
      </c>
      <c r="C51" s="1">
        <f>Аксессуры!C180</f>
        <v>5215</v>
      </c>
      <c r="D51" s="1" t="str">
        <f>Аксессуры!G180</f>
        <v>круглая</v>
      </c>
      <c r="E51" s="1">
        <f>Аксессуры!H180</f>
        <v>45</v>
      </c>
      <c r="F51" s="1">
        <f>Аксессуры!I180</f>
        <v>45</v>
      </c>
      <c r="G51" s="1">
        <f>CEILING(Аксессуры!F180*Настройки!$P$32,5)</f>
        <v>1550</v>
      </c>
      <c r="H51" s="66">
        <f t="shared" si="1"/>
        <v>0</v>
      </c>
      <c r="I51" s="197" t="str">
        <f t="shared" si="0"/>
        <v xml:space="preserve"> </v>
      </c>
    </row>
    <row r="52" spans="1:9" ht="16.5" thickTop="1" thickBot="1">
      <c r="A52" s="1" t="str">
        <f>Аксессуры!A181</f>
        <v>Пластиковая карманная оснастка</v>
      </c>
      <c r="B52" s="1" t="str">
        <f>Аксессуры!B181</f>
        <v>Trodat</v>
      </c>
      <c r="C52" s="1" t="str">
        <f>Аксессуры!C181</f>
        <v>Mouse Stamp</v>
      </c>
      <c r="D52" s="1" t="str">
        <f>Аксессуры!G181</f>
        <v>круглая</v>
      </c>
      <c r="E52" s="1">
        <f>Аксессуры!H181</f>
        <v>40</v>
      </c>
      <c r="F52" s="1">
        <f>Аксессуры!I181</f>
        <v>40</v>
      </c>
      <c r="G52" s="1">
        <f>CEILING(Аксессуры!F181*Настройки!$P$32,5)</f>
        <v>425</v>
      </c>
      <c r="H52" s="66">
        <f t="shared" si="1"/>
        <v>0</v>
      </c>
      <c r="I52" s="197" t="str">
        <f t="shared" si="0"/>
        <v xml:space="preserve"> </v>
      </c>
    </row>
    <row r="53" spans="1:9" ht="16.5" thickTop="1" thickBot="1">
      <c r="A53" s="1" t="str">
        <f>Аксессуры!A182</f>
        <v>Пластиковая карманная оснастка</v>
      </c>
      <c r="B53" s="1" t="str">
        <f>Аксессуры!B182</f>
        <v>Trodat</v>
      </c>
      <c r="C53" s="1">
        <f>Аксессуры!C182</f>
        <v>9440</v>
      </c>
      <c r="D53" s="1" t="str">
        <f>Аксессуры!G182</f>
        <v>прямоугольная</v>
      </c>
      <c r="E53" s="1">
        <f>Аксессуры!H182</f>
        <v>40</v>
      </c>
      <c r="F53" s="1">
        <f>Аксессуры!I182</f>
        <v>40</v>
      </c>
      <c r="G53" s="1">
        <f>CEILING(Аксессуры!F182*Настройки!$P$32,5)</f>
        <v>425</v>
      </c>
      <c r="H53" s="66">
        <f t="shared" si="1"/>
        <v>0</v>
      </c>
      <c r="I53" s="197" t="str">
        <f t="shared" si="0"/>
        <v xml:space="preserve"> </v>
      </c>
    </row>
    <row r="54" spans="1:9" ht="16.5" thickTop="1" thickBot="1">
      <c r="A54" s="1" t="str">
        <f>Аксессуры!A183</f>
        <v>Пластиковая карманная оснастка</v>
      </c>
      <c r="B54" s="1" t="str">
        <f>Аксессуры!B183</f>
        <v>Trodat</v>
      </c>
      <c r="C54" s="1">
        <f>Аксессуры!C183</f>
        <v>9430</v>
      </c>
      <c r="D54" s="1" t="str">
        <f>Аксессуры!G183</f>
        <v>прямоугольная</v>
      </c>
      <c r="E54" s="1">
        <f>Аксессуры!H183</f>
        <v>30</v>
      </c>
      <c r="F54" s="1">
        <f>Аксессуры!I183</f>
        <v>30</v>
      </c>
      <c r="G54" s="1">
        <f>CEILING(Аксессуры!F183*Настройки!$P$32,5)</f>
        <v>425</v>
      </c>
      <c r="H54" s="66">
        <f t="shared" si="1"/>
        <v>0</v>
      </c>
      <c r="I54" s="197" t="str">
        <f t="shared" si="0"/>
        <v xml:space="preserve"> </v>
      </c>
    </row>
    <row r="55" spans="1:9" ht="16.5" thickTop="1" thickBot="1">
      <c r="A55" s="1" t="str">
        <f>Аксессуры!A184</f>
        <v>Пластиковая карманная оснастка</v>
      </c>
      <c r="B55" s="1" t="str">
        <f>Аксессуры!B184</f>
        <v>Trodat</v>
      </c>
      <c r="C55" s="1">
        <f>Аксессуры!C184</f>
        <v>9411</v>
      </c>
      <c r="D55" s="1" t="str">
        <f>Аксессуры!G184</f>
        <v>прямоугольная</v>
      </c>
      <c r="E55" s="1">
        <f>Аксессуры!H184</f>
        <v>38</v>
      </c>
      <c r="F55" s="1">
        <f>Аксессуры!I184</f>
        <v>14</v>
      </c>
      <c r="G55" s="1">
        <f>CEILING(Аксессуры!F184*Настройки!$P$32,5)</f>
        <v>395</v>
      </c>
      <c r="H55" s="66">
        <f t="shared" si="1"/>
        <v>0</v>
      </c>
      <c r="I55" s="197" t="str">
        <f t="shared" si="0"/>
        <v xml:space="preserve"> </v>
      </c>
    </row>
    <row r="56" spans="1:9" ht="16.5" thickTop="1" thickBot="1">
      <c r="A56" s="1" t="str">
        <f>Аксессуры!A185</f>
        <v>Пластиковая карманная оснастка</v>
      </c>
      <c r="B56" s="1" t="str">
        <f>Аксессуры!B185</f>
        <v>Trodat</v>
      </c>
      <c r="C56" s="1">
        <f>Аксессуры!C185</f>
        <v>9412</v>
      </c>
      <c r="D56" s="1" t="str">
        <f>Аксессуры!G185</f>
        <v>прямоугольная</v>
      </c>
      <c r="E56" s="1">
        <f>Аксессуры!H185</f>
        <v>47</v>
      </c>
      <c r="F56" s="1">
        <f>Аксессуры!I185</f>
        <v>18</v>
      </c>
      <c r="G56" s="1">
        <f>CEILING(Аксессуры!F185*Настройки!$P$32,5)</f>
        <v>395</v>
      </c>
      <c r="H56" s="66">
        <f t="shared" si="1"/>
        <v>0</v>
      </c>
      <c r="I56" s="197" t="str">
        <f t="shared" si="0"/>
        <v xml:space="preserve"> </v>
      </c>
    </row>
    <row r="57" spans="1:9" ht="16.5" thickTop="1" thickBot="1">
      <c r="A57" s="1" t="str">
        <f>Аксессуры!A186</f>
        <v xml:space="preserve">Металлическая оснастка </v>
      </c>
      <c r="B57" s="1">
        <f>Аксессуры!B186</f>
        <v>0</v>
      </c>
      <c r="C57" s="1" t="str">
        <f>Аксессуры!C186</f>
        <v>Таблетка</v>
      </c>
      <c r="D57" s="1" t="str">
        <f>Аксессуры!G186</f>
        <v>круглая</v>
      </c>
      <c r="E57" s="1">
        <f>Аксессуры!H186</f>
        <v>40</v>
      </c>
      <c r="F57" s="1">
        <f>Аксессуры!I186</f>
        <v>40</v>
      </c>
      <c r="G57" s="1">
        <f>CEILING(Аксессуры!F186*Настройки!$P$32,5)</f>
        <v>595</v>
      </c>
      <c r="H57" s="66">
        <f t="shared" si="1"/>
        <v>0</v>
      </c>
      <c r="I57" s="197" t="str">
        <f t="shared" si="0"/>
        <v xml:space="preserve"> </v>
      </c>
    </row>
    <row r="58" spans="1:9" ht="16.5" thickTop="1" thickBot="1">
      <c r="A58" s="1" t="str">
        <f>Аксессуры!A187</f>
        <v xml:space="preserve">Металлическая оснастка </v>
      </c>
      <c r="B58" s="1">
        <f>Аксессуры!B187</f>
        <v>0</v>
      </c>
      <c r="C58" s="1" t="str">
        <f>Аксессуры!C187</f>
        <v>Золотое кольцо</v>
      </c>
      <c r="D58" s="1" t="str">
        <f>Аксессуры!G187</f>
        <v>круглая</v>
      </c>
      <c r="E58" s="1">
        <f>Аксессуры!H187</f>
        <v>40</v>
      </c>
      <c r="F58" s="1">
        <f>Аксессуры!I187</f>
        <v>40</v>
      </c>
      <c r="G58" s="1">
        <f>CEILING(Аксессуры!F187*Настройки!$P$32,5)</f>
        <v>680</v>
      </c>
      <c r="H58" s="66">
        <f t="shared" si="1"/>
        <v>0</v>
      </c>
      <c r="I58" s="197" t="str">
        <f t="shared" si="0"/>
        <v xml:space="preserve"> </v>
      </c>
    </row>
    <row r="59" spans="1:9" ht="16.5" thickTop="1" thickBot="1">
      <c r="A59" s="1" t="str">
        <f>Аксессуры!A188</f>
        <v xml:space="preserve">Металлическая оснастка </v>
      </c>
      <c r="B59" s="1">
        <f>Аксессуры!B188</f>
        <v>0</v>
      </c>
      <c r="C59" s="1" t="str">
        <f>Аксессуры!C188</f>
        <v>Золотое кольцо двухсекционная</v>
      </c>
      <c r="D59" s="1" t="str">
        <f>Аксессуры!G188</f>
        <v>круглая</v>
      </c>
      <c r="E59" s="1">
        <f>Аксессуры!H188</f>
        <v>40</v>
      </c>
      <c r="F59" s="1">
        <f>Аксессуры!I188</f>
        <v>40</v>
      </c>
      <c r="G59" s="1">
        <f>CEILING(Аксессуры!F188*Настройки!$P$32,5)</f>
        <v>765</v>
      </c>
      <c r="H59" s="66">
        <f t="shared" si="1"/>
        <v>0</v>
      </c>
      <c r="I59" s="197" t="str">
        <f t="shared" si="0"/>
        <v xml:space="preserve"> </v>
      </c>
    </row>
    <row r="60" spans="1:9" ht="16.5" thickTop="1" thickBot="1">
      <c r="A60" s="1" t="str">
        <f>Аксессуры!A189</f>
        <v xml:space="preserve">Металлическая оснастка </v>
      </c>
      <c r="B60" s="1">
        <f>Аксессуры!B189</f>
        <v>0</v>
      </c>
      <c r="C60" s="1" t="str">
        <f>Аксессуры!C189</f>
        <v>Карманный Полуавтомат</v>
      </c>
      <c r="D60" s="1" t="str">
        <f>Аксессуры!G189</f>
        <v>круглая</v>
      </c>
      <c r="E60" s="1">
        <f>Аксессуры!H189</f>
        <v>40</v>
      </c>
      <c r="F60" s="1">
        <f>Аксессуры!I189</f>
        <v>40</v>
      </c>
      <c r="G60" s="1">
        <f>CEILING(Аксессуры!F189*Настройки!$P$32,5)</f>
        <v>935</v>
      </c>
      <c r="H60" s="66">
        <v>0</v>
      </c>
      <c r="I60" s="197" t="str">
        <f t="shared" si="0"/>
        <v xml:space="preserve"> </v>
      </c>
    </row>
    <row r="61" spans="1:9" ht="16.5" thickTop="1" thickBot="1">
      <c r="A61" s="1" t="str">
        <f>Аксессуры!A190</f>
        <v xml:space="preserve">Металлическая оснастка </v>
      </c>
      <c r="B61" s="1">
        <f>Аксессуры!B190</f>
        <v>0</v>
      </c>
      <c r="C61" s="1" t="str">
        <f>Аксессуры!C190</f>
        <v>Техно</v>
      </c>
      <c r="D61" s="1" t="str">
        <f>Аксессуры!G190</f>
        <v>круглая</v>
      </c>
      <c r="E61" s="1">
        <f>Аксессуры!H190</f>
        <v>40</v>
      </c>
      <c r="F61" s="1">
        <f>Аксессуры!I190</f>
        <v>40</v>
      </c>
      <c r="G61" s="1">
        <f>CEILING(Аксессуры!F190*Настройки!$P$32,5)</f>
        <v>1700</v>
      </c>
      <c r="H61" s="66">
        <f t="shared" si="1"/>
        <v>0</v>
      </c>
      <c r="I61" s="197" t="str">
        <f t="shared" si="0"/>
        <v xml:space="preserve"> </v>
      </c>
    </row>
    <row r="62" spans="1:9" ht="16.5" thickTop="1" thickBot="1">
      <c r="A62" s="1" t="str">
        <f>Аксессуры!A191</f>
        <v xml:space="preserve">Металлическая оснастка </v>
      </c>
      <c r="B62" s="1">
        <f>Аксессуры!B191</f>
        <v>0</v>
      </c>
      <c r="C62" s="1" t="str">
        <f>Аксессуры!C191</f>
        <v>Диско</v>
      </c>
      <c r="D62" s="1" t="str">
        <f>Аксессуры!G191</f>
        <v>круглая</v>
      </c>
      <c r="E62" s="1">
        <f>Аксессуры!H191</f>
        <v>40</v>
      </c>
      <c r="F62" s="1">
        <f>Аксессуры!I191</f>
        <v>40</v>
      </c>
      <c r="G62" s="1">
        <f>CEILING(Аксессуры!F191*Настройки!$P$32,5)</f>
        <v>1530</v>
      </c>
      <c r="H62" s="66">
        <f t="shared" si="1"/>
        <v>0</v>
      </c>
      <c r="I62" s="197" t="str">
        <f t="shared" si="0"/>
        <v xml:space="preserve"> </v>
      </c>
    </row>
    <row r="63" spans="1:9" ht="16.5" thickTop="1" thickBot="1">
      <c r="A63" s="1" t="str">
        <f>Аксессуры!A192</f>
        <v xml:space="preserve">Металлическая оснастка </v>
      </c>
      <c r="B63" s="1">
        <f>Аксессуры!B192</f>
        <v>0</v>
      </c>
      <c r="C63" s="1" t="str">
        <f>Аксессуры!C192</f>
        <v>НЛО</v>
      </c>
      <c r="D63" s="1" t="str">
        <f>Аксессуры!G192</f>
        <v>круглая</v>
      </c>
      <c r="E63" s="1">
        <f>Аксессуры!H192</f>
        <v>40</v>
      </c>
      <c r="F63" s="1">
        <f>Аксессуры!I192</f>
        <v>40</v>
      </c>
      <c r="G63" s="1">
        <f>CEILING(Аксессуры!F192*Настройки!$P$32,5)</f>
        <v>1530</v>
      </c>
      <c r="H63" s="66">
        <f t="shared" si="1"/>
        <v>0</v>
      </c>
      <c r="I63" s="197" t="str">
        <f t="shared" si="0"/>
        <v xml:space="preserve"> </v>
      </c>
    </row>
    <row r="64" spans="1:9" ht="16.5" thickTop="1" thickBot="1">
      <c r="A64" s="1" t="str">
        <f>Аксессуры!A193</f>
        <v xml:space="preserve">Металлическая оснастка </v>
      </c>
      <c r="B64" s="1">
        <f>Аксессуры!B193</f>
        <v>0</v>
      </c>
      <c r="C64" s="1" t="str">
        <f>Аксессуры!C193</f>
        <v>Чёрный лак</v>
      </c>
      <c r="D64" s="1" t="str">
        <f>Аксессуры!G193</f>
        <v>круглая</v>
      </c>
      <c r="E64" s="1">
        <f>Аксессуры!H193</f>
        <v>40</v>
      </c>
      <c r="F64" s="1">
        <f>Аксессуры!I193</f>
        <v>40</v>
      </c>
      <c r="G64" s="1">
        <f>CEILING(Аксессуры!F193*Настройки!$P$32,5)</f>
        <v>935</v>
      </c>
      <c r="H64" s="66">
        <f t="shared" si="1"/>
        <v>0</v>
      </c>
      <c r="I64" s="197" t="str">
        <f t="shared" si="0"/>
        <v xml:space="preserve"> </v>
      </c>
    </row>
    <row r="65" ht="15.75" thickTop="1"/>
    <row r="207" spans="2:7">
      <c r="D207" s="218"/>
      <c r="E207" s="218" t="s">
        <v>972</v>
      </c>
      <c r="F207" s="218" t="s">
        <v>971</v>
      </c>
      <c r="G207" s="218" t="s">
        <v>374</v>
      </c>
    </row>
    <row r="208" spans="2:7">
      <c r="B208" t="s">
        <v>859</v>
      </c>
      <c r="C208">
        <f>IF(B2=B210,C210,0)+IF(B2=B211,C211,0)+IF(B2=B212,C212,0)+IF(B2=B213,C213,0)+IF(B2=B214,C214,0)</f>
        <v>0</v>
      </c>
      <c r="D208" s="218" t="s">
        <v>967</v>
      </c>
      <c r="E208" s="218">
        <f>Настройки!R32</f>
        <v>500</v>
      </c>
      <c r="F208" s="218">
        <f>IF(D208=$B$7,1,0)</f>
        <v>1</v>
      </c>
      <c r="G208" s="218">
        <f>F208*E208</f>
        <v>500</v>
      </c>
    </row>
    <row r="209" spans="1:7">
      <c r="B209" t="s">
        <v>860</v>
      </c>
      <c r="C209">
        <f>IF(B4=B210,C210,0)+IF(B4=B211,C211,0)+IF(B4=B212,C212,0)+IF(B4=B213,K2,0)+IF(B4=B214,C214,0)</f>
        <v>0</v>
      </c>
      <c r="D209" s="218" t="s">
        <v>968</v>
      </c>
      <c r="E209" s="218">
        <f>Настройки!S32</f>
        <v>900</v>
      </c>
      <c r="F209" s="218">
        <f>IF(D209=$B$7,1,0)</f>
        <v>0</v>
      </c>
      <c r="G209" s="218">
        <f>F209*E209</f>
        <v>0</v>
      </c>
    </row>
    <row r="210" spans="1:7">
      <c r="A210">
        <v>0</v>
      </c>
      <c r="B210" t="s">
        <v>629</v>
      </c>
      <c r="C210">
        <v>0</v>
      </c>
    </row>
    <row r="211" spans="1:7">
      <c r="A211">
        <v>1</v>
      </c>
      <c r="B211" t="s">
        <v>93</v>
      </c>
      <c r="C211">
        <v>0</v>
      </c>
    </row>
    <row r="212" spans="1:7">
      <c r="A212">
        <v>2</v>
      </c>
      <c r="B212" t="s">
        <v>854</v>
      </c>
      <c r="C212">
        <v>0</v>
      </c>
    </row>
    <row r="213" spans="1:7">
      <c r="A213">
        <v>3</v>
      </c>
      <c r="B213" t="s">
        <v>964</v>
      </c>
      <c r="C213">
        <f>'Услуги дизайна'!B35*'Услуги дизайна'!C35</f>
        <v>0</v>
      </c>
    </row>
    <row r="214" spans="1:7">
      <c r="A214">
        <v>4</v>
      </c>
      <c r="B214" t="s">
        <v>965</v>
      </c>
      <c r="C214">
        <f>'Услуги дизайна'!B36*'Услуги дизайна'!C36</f>
        <v>0</v>
      </c>
    </row>
    <row r="215" spans="1:7">
      <c r="A215">
        <v>5</v>
      </c>
    </row>
    <row r="216" spans="1:7">
      <c r="A216">
        <v>6</v>
      </c>
    </row>
    <row r="217" spans="1:7">
      <c r="A217">
        <v>7</v>
      </c>
    </row>
    <row r="218" spans="1:7">
      <c r="A218">
        <v>8</v>
      </c>
    </row>
    <row r="219" spans="1:7">
      <c r="A219">
        <v>9</v>
      </c>
    </row>
    <row r="220" spans="1:7">
      <c r="A220">
        <v>10</v>
      </c>
    </row>
    <row r="221" spans="1:7">
      <c r="A221">
        <v>11</v>
      </c>
    </row>
    <row r="222" spans="1:7">
      <c r="A222">
        <v>12</v>
      </c>
    </row>
    <row r="223" spans="1:7">
      <c r="A223">
        <v>13</v>
      </c>
    </row>
    <row r="224" spans="1:7">
      <c r="A224">
        <v>14</v>
      </c>
    </row>
    <row r="225" spans="1:1">
      <c r="A225">
        <v>15</v>
      </c>
    </row>
    <row r="226" spans="1:1">
      <c r="A226">
        <v>16</v>
      </c>
    </row>
    <row r="227" spans="1:1">
      <c r="A227">
        <v>17</v>
      </c>
    </row>
    <row r="228" spans="1:1">
      <c r="A228">
        <v>18</v>
      </c>
    </row>
    <row r="229" spans="1:1">
      <c r="A229">
        <v>19</v>
      </c>
    </row>
    <row r="230" spans="1:1">
      <c r="A230">
        <v>20</v>
      </c>
    </row>
    <row r="231" spans="1:1">
      <c r="A231">
        <v>21</v>
      </c>
    </row>
    <row r="232" spans="1:1">
      <c r="A232">
        <v>22</v>
      </c>
    </row>
    <row r="233" spans="1:1">
      <c r="A233">
        <v>23</v>
      </c>
    </row>
    <row r="234" spans="1:1">
      <c r="A234">
        <v>24</v>
      </c>
    </row>
    <row r="235" spans="1:1">
      <c r="A235">
        <v>25</v>
      </c>
    </row>
    <row r="236" spans="1:1">
      <c r="A236">
        <v>26</v>
      </c>
    </row>
    <row r="237" spans="1:1">
      <c r="A237">
        <v>27</v>
      </c>
    </row>
    <row r="238" spans="1:1">
      <c r="A238">
        <v>28</v>
      </c>
    </row>
    <row r="239" spans="1:1">
      <c r="A239">
        <v>29</v>
      </c>
    </row>
    <row r="240" spans="1:1">
      <c r="A240">
        <v>30</v>
      </c>
    </row>
    <row r="241" spans="1:1">
      <c r="A241">
        <v>31</v>
      </c>
    </row>
    <row r="242" spans="1:1">
      <c r="A242">
        <v>32</v>
      </c>
    </row>
    <row r="243" spans="1:1">
      <c r="A243">
        <v>33</v>
      </c>
    </row>
    <row r="244" spans="1:1">
      <c r="A244">
        <v>34</v>
      </c>
    </row>
    <row r="245" spans="1:1">
      <c r="A245">
        <v>35</v>
      </c>
    </row>
    <row r="246" spans="1:1">
      <c r="A246">
        <v>36</v>
      </c>
    </row>
    <row r="247" spans="1:1">
      <c r="A247">
        <v>37</v>
      </c>
    </row>
    <row r="248" spans="1:1">
      <c r="A248">
        <v>38</v>
      </c>
    </row>
    <row r="249" spans="1:1">
      <c r="A249">
        <v>39</v>
      </c>
    </row>
    <row r="250" spans="1:1">
      <c r="A250">
        <v>40</v>
      </c>
    </row>
    <row r="251" spans="1:1">
      <c r="A251">
        <v>41</v>
      </c>
    </row>
    <row r="252" spans="1:1">
      <c r="A252">
        <v>42</v>
      </c>
    </row>
    <row r="253" spans="1:1">
      <c r="A253">
        <v>43</v>
      </c>
    </row>
    <row r="254" spans="1:1">
      <c r="A254">
        <v>44</v>
      </c>
    </row>
    <row r="255" spans="1:1">
      <c r="A255">
        <v>45</v>
      </c>
    </row>
    <row r="256" spans="1:1">
      <c r="A256">
        <v>46</v>
      </c>
    </row>
    <row r="257" spans="1:1">
      <c r="A257">
        <v>47</v>
      </c>
    </row>
    <row r="258" spans="1:1">
      <c r="A258">
        <v>48</v>
      </c>
    </row>
    <row r="259" spans="1:1">
      <c r="A259">
        <v>49</v>
      </c>
    </row>
    <row r="260" spans="1:1">
      <c r="A260">
        <v>50</v>
      </c>
    </row>
    <row r="261" spans="1:1">
      <c r="A261">
        <v>51</v>
      </c>
    </row>
    <row r="262" spans="1:1">
      <c r="A262">
        <v>52</v>
      </c>
    </row>
    <row r="263" spans="1:1">
      <c r="A263">
        <v>53</v>
      </c>
    </row>
    <row r="264" spans="1:1">
      <c r="A264">
        <v>54</v>
      </c>
    </row>
    <row r="265" spans="1:1">
      <c r="A265">
        <v>55</v>
      </c>
    </row>
    <row r="266" spans="1:1">
      <c r="A266">
        <v>56</v>
      </c>
    </row>
    <row r="267" spans="1:1">
      <c r="A267">
        <v>57</v>
      </c>
    </row>
    <row r="268" spans="1:1">
      <c r="A268">
        <v>58</v>
      </c>
    </row>
    <row r="269" spans="1:1">
      <c r="A269">
        <v>59</v>
      </c>
    </row>
    <row r="270" spans="1:1">
      <c r="A270">
        <v>60</v>
      </c>
    </row>
    <row r="271" spans="1:1">
      <c r="A271">
        <v>61</v>
      </c>
    </row>
    <row r="272" spans="1:1">
      <c r="A272">
        <v>62</v>
      </c>
    </row>
    <row r="273" spans="1:1">
      <c r="A273">
        <v>63</v>
      </c>
    </row>
    <row r="274" spans="1:1">
      <c r="A274">
        <v>64</v>
      </c>
    </row>
    <row r="275" spans="1:1">
      <c r="A275">
        <v>65</v>
      </c>
    </row>
    <row r="276" spans="1:1">
      <c r="A276">
        <v>66</v>
      </c>
    </row>
    <row r="277" spans="1:1">
      <c r="A277">
        <v>67</v>
      </c>
    </row>
    <row r="278" spans="1:1">
      <c r="A278">
        <v>68</v>
      </c>
    </row>
    <row r="279" spans="1:1">
      <c r="A279">
        <v>69</v>
      </c>
    </row>
    <row r="280" spans="1:1">
      <c r="A280">
        <v>70</v>
      </c>
    </row>
    <row r="281" spans="1:1">
      <c r="A281">
        <v>71</v>
      </c>
    </row>
    <row r="282" spans="1:1">
      <c r="A282">
        <v>72</v>
      </c>
    </row>
    <row r="283" spans="1:1">
      <c r="A283">
        <v>73</v>
      </c>
    </row>
    <row r="284" spans="1:1">
      <c r="A284">
        <v>74</v>
      </c>
    </row>
    <row r="285" spans="1:1">
      <c r="A285">
        <v>75</v>
      </c>
    </row>
    <row r="286" spans="1:1">
      <c r="A286">
        <v>76</v>
      </c>
    </row>
    <row r="287" spans="1:1">
      <c r="A287">
        <v>77</v>
      </c>
    </row>
    <row r="288" spans="1:1">
      <c r="A288">
        <v>78</v>
      </c>
    </row>
    <row r="289" spans="1:1">
      <c r="A289">
        <v>79</v>
      </c>
    </row>
    <row r="290" spans="1:1">
      <c r="A290">
        <v>80</v>
      </c>
    </row>
    <row r="291" spans="1:1">
      <c r="A291">
        <v>81</v>
      </c>
    </row>
    <row r="292" spans="1:1">
      <c r="A292">
        <v>82</v>
      </c>
    </row>
    <row r="293" spans="1:1">
      <c r="A293">
        <v>83</v>
      </c>
    </row>
    <row r="294" spans="1:1">
      <c r="A294">
        <v>84</v>
      </c>
    </row>
    <row r="295" spans="1:1">
      <c r="A295">
        <v>85</v>
      </c>
    </row>
    <row r="296" spans="1:1">
      <c r="A296">
        <v>86</v>
      </c>
    </row>
    <row r="297" spans="1:1">
      <c r="A297">
        <v>87</v>
      </c>
    </row>
    <row r="298" spans="1:1">
      <c r="A298">
        <v>88</v>
      </c>
    </row>
    <row r="299" spans="1:1">
      <c r="A299">
        <v>89</v>
      </c>
    </row>
    <row r="300" spans="1:1">
      <c r="A300">
        <v>90</v>
      </c>
    </row>
    <row r="301" spans="1:1">
      <c r="A301">
        <v>91</v>
      </c>
    </row>
    <row r="302" spans="1:1">
      <c r="A302">
        <v>92</v>
      </c>
    </row>
    <row r="303" spans="1:1">
      <c r="A303">
        <v>93</v>
      </c>
    </row>
    <row r="304" spans="1:1">
      <c r="A304">
        <v>94</v>
      </c>
    </row>
    <row r="305" spans="1:1">
      <c r="A305">
        <v>95</v>
      </c>
    </row>
    <row r="306" spans="1:1">
      <c r="A306">
        <v>96</v>
      </c>
    </row>
    <row r="307" spans="1:1">
      <c r="A307">
        <v>97</v>
      </c>
    </row>
    <row r="308" spans="1:1">
      <c r="A308">
        <v>98</v>
      </c>
    </row>
    <row r="309" spans="1:1">
      <c r="A309">
        <v>99</v>
      </c>
    </row>
    <row r="310" spans="1:1">
      <c r="A310">
        <v>100</v>
      </c>
    </row>
    <row r="311" spans="1:1">
      <c r="A311">
        <v>101</v>
      </c>
    </row>
    <row r="312" spans="1:1">
      <c r="A312">
        <v>102</v>
      </c>
    </row>
    <row r="313" spans="1:1">
      <c r="A313">
        <v>103</v>
      </c>
    </row>
    <row r="314" spans="1:1">
      <c r="A314">
        <v>104</v>
      </c>
    </row>
    <row r="315" spans="1:1">
      <c r="A315">
        <v>105</v>
      </c>
    </row>
    <row r="316" spans="1:1">
      <c r="A316">
        <v>106</v>
      </c>
    </row>
    <row r="317" spans="1:1">
      <c r="A317">
        <v>107</v>
      </c>
    </row>
    <row r="318" spans="1:1">
      <c r="A318">
        <v>108</v>
      </c>
    </row>
    <row r="319" spans="1:1">
      <c r="A319">
        <v>109</v>
      </c>
    </row>
    <row r="320" spans="1:1">
      <c r="A320">
        <v>110</v>
      </c>
    </row>
    <row r="321" spans="1:1">
      <c r="A321">
        <v>111</v>
      </c>
    </row>
    <row r="322" spans="1:1">
      <c r="A322">
        <v>112</v>
      </c>
    </row>
    <row r="323" spans="1:1">
      <c r="A323">
        <v>113</v>
      </c>
    </row>
    <row r="324" spans="1:1">
      <c r="A324">
        <v>114</v>
      </c>
    </row>
    <row r="325" spans="1:1">
      <c r="A325">
        <v>115</v>
      </c>
    </row>
    <row r="326" spans="1:1">
      <c r="A326">
        <v>116</v>
      </c>
    </row>
    <row r="327" spans="1:1">
      <c r="A327">
        <v>117</v>
      </c>
    </row>
    <row r="328" spans="1:1">
      <c r="A328">
        <v>118</v>
      </c>
    </row>
    <row r="329" spans="1:1">
      <c r="A329">
        <v>119</v>
      </c>
    </row>
    <row r="330" spans="1:1">
      <c r="A330">
        <v>120</v>
      </c>
    </row>
    <row r="331" spans="1:1">
      <c r="A331">
        <v>121</v>
      </c>
    </row>
    <row r="332" spans="1:1">
      <c r="A332">
        <v>122</v>
      </c>
    </row>
    <row r="333" spans="1:1">
      <c r="A333">
        <v>123</v>
      </c>
    </row>
    <row r="334" spans="1:1">
      <c r="A334">
        <v>124</v>
      </c>
    </row>
    <row r="335" spans="1:1">
      <c r="A335">
        <v>125</v>
      </c>
    </row>
    <row r="336" spans="1:1">
      <c r="A336">
        <v>126</v>
      </c>
    </row>
    <row r="337" spans="1:1">
      <c r="A337">
        <v>127</v>
      </c>
    </row>
    <row r="338" spans="1:1">
      <c r="A338">
        <v>128</v>
      </c>
    </row>
    <row r="339" spans="1:1">
      <c r="A339">
        <v>129</v>
      </c>
    </row>
    <row r="340" spans="1:1">
      <c r="A340">
        <v>130</v>
      </c>
    </row>
    <row r="341" spans="1:1">
      <c r="A341">
        <v>131</v>
      </c>
    </row>
    <row r="342" spans="1:1">
      <c r="A342">
        <v>132</v>
      </c>
    </row>
    <row r="343" spans="1:1">
      <c r="A343">
        <v>133</v>
      </c>
    </row>
    <row r="344" spans="1:1">
      <c r="A344">
        <v>134</v>
      </c>
    </row>
    <row r="345" spans="1:1">
      <c r="A345">
        <v>135</v>
      </c>
    </row>
    <row r="346" spans="1:1">
      <c r="A346">
        <v>136</v>
      </c>
    </row>
    <row r="347" spans="1:1">
      <c r="A347">
        <v>137</v>
      </c>
    </row>
    <row r="348" spans="1:1">
      <c r="A348">
        <v>138</v>
      </c>
    </row>
    <row r="349" spans="1:1">
      <c r="A349">
        <v>139</v>
      </c>
    </row>
    <row r="350" spans="1:1">
      <c r="A350">
        <v>140</v>
      </c>
    </row>
    <row r="351" spans="1:1">
      <c r="A351">
        <v>141</v>
      </c>
    </row>
    <row r="352" spans="1:1">
      <c r="A352">
        <v>142</v>
      </c>
    </row>
    <row r="353" spans="1:1">
      <c r="A353">
        <v>143</v>
      </c>
    </row>
    <row r="354" spans="1:1">
      <c r="A354">
        <v>144</v>
      </c>
    </row>
    <row r="355" spans="1:1">
      <c r="A355">
        <v>145</v>
      </c>
    </row>
    <row r="356" spans="1:1">
      <c r="A356">
        <v>146</v>
      </c>
    </row>
    <row r="357" spans="1:1">
      <c r="A357">
        <v>147</v>
      </c>
    </row>
    <row r="358" spans="1:1">
      <c r="A358">
        <v>148</v>
      </c>
    </row>
    <row r="359" spans="1:1">
      <c r="A359">
        <v>149</v>
      </c>
    </row>
    <row r="360" spans="1:1">
      <c r="A360">
        <v>150</v>
      </c>
    </row>
    <row r="361" spans="1:1">
      <c r="A361">
        <v>151</v>
      </c>
    </row>
    <row r="362" spans="1:1">
      <c r="A362">
        <v>152</v>
      </c>
    </row>
    <row r="363" spans="1:1">
      <c r="A363">
        <v>153</v>
      </c>
    </row>
    <row r="364" spans="1:1">
      <c r="A364">
        <v>154</v>
      </c>
    </row>
    <row r="365" spans="1:1">
      <c r="A365">
        <v>155</v>
      </c>
    </row>
    <row r="366" spans="1:1">
      <c r="A366">
        <v>156</v>
      </c>
    </row>
    <row r="367" spans="1:1">
      <c r="A367">
        <v>157</v>
      </c>
    </row>
    <row r="368" spans="1:1">
      <c r="A368">
        <v>158</v>
      </c>
    </row>
    <row r="369" spans="1:1">
      <c r="A369">
        <v>159</v>
      </c>
    </row>
    <row r="370" spans="1:1">
      <c r="A370">
        <v>160</v>
      </c>
    </row>
    <row r="371" spans="1:1">
      <c r="A371">
        <v>161</v>
      </c>
    </row>
    <row r="372" spans="1:1">
      <c r="A372">
        <v>162</v>
      </c>
    </row>
    <row r="373" spans="1:1">
      <c r="A373">
        <v>163</v>
      </c>
    </row>
    <row r="374" spans="1:1">
      <c r="A374">
        <v>164</v>
      </c>
    </row>
    <row r="375" spans="1:1">
      <c r="A375">
        <v>165</v>
      </c>
    </row>
    <row r="376" spans="1:1">
      <c r="A376">
        <v>166</v>
      </c>
    </row>
    <row r="377" spans="1:1">
      <c r="A377">
        <v>167</v>
      </c>
    </row>
    <row r="378" spans="1:1">
      <c r="A378">
        <v>168</v>
      </c>
    </row>
    <row r="379" spans="1:1">
      <c r="A379">
        <v>169</v>
      </c>
    </row>
    <row r="380" spans="1:1">
      <c r="A380">
        <v>170</v>
      </c>
    </row>
    <row r="381" spans="1:1">
      <c r="A381">
        <v>171</v>
      </c>
    </row>
    <row r="382" spans="1:1">
      <c r="A382">
        <v>172</v>
      </c>
    </row>
    <row r="383" spans="1:1">
      <c r="A383">
        <v>173</v>
      </c>
    </row>
    <row r="384" spans="1:1">
      <c r="A384">
        <v>174</v>
      </c>
    </row>
    <row r="385" spans="1:1">
      <c r="A385">
        <v>175</v>
      </c>
    </row>
    <row r="386" spans="1:1">
      <c r="A386">
        <v>176</v>
      </c>
    </row>
    <row r="387" spans="1:1">
      <c r="A387">
        <v>177</v>
      </c>
    </row>
    <row r="388" spans="1:1">
      <c r="A388">
        <v>178</v>
      </c>
    </row>
    <row r="389" spans="1:1">
      <c r="A389">
        <v>179</v>
      </c>
    </row>
    <row r="390" spans="1:1">
      <c r="A390">
        <v>180</v>
      </c>
    </row>
    <row r="391" spans="1:1">
      <c r="A391">
        <v>181</v>
      </c>
    </row>
    <row r="392" spans="1:1">
      <c r="A392">
        <v>182</v>
      </c>
    </row>
    <row r="393" spans="1:1">
      <c r="A393">
        <v>183</v>
      </c>
    </row>
    <row r="394" spans="1:1">
      <c r="A394">
        <v>184</v>
      </c>
    </row>
    <row r="395" spans="1:1">
      <c r="A395">
        <v>185</v>
      </c>
    </row>
    <row r="396" spans="1:1">
      <c r="A396">
        <v>186</v>
      </c>
    </row>
    <row r="397" spans="1:1">
      <c r="A397">
        <v>187</v>
      </c>
    </row>
    <row r="398" spans="1:1">
      <c r="A398">
        <v>188</v>
      </c>
    </row>
    <row r="399" spans="1:1">
      <c r="A399">
        <v>189</v>
      </c>
    </row>
    <row r="400" spans="1:1">
      <c r="A400">
        <v>190</v>
      </c>
    </row>
    <row r="401" spans="1:1">
      <c r="A401">
        <v>191</v>
      </c>
    </row>
    <row r="402" spans="1:1">
      <c r="A402">
        <v>192</v>
      </c>
    </row>
    <row r="403" spans="1:1">
      <c r="A403">
        <v>193</v>
      </c>
    </row>
    <row r="404" spans="1:1">
      <c r="A404">
        <v>194</v>
      </c>
    </row>
    <row r="405" spans="1:1">
      <c r="A405">
        <v>195</v>
      </c>
    </row>
    <row r="406" spans="1:1">
      <c r="A406">
        <v>196</v>
      </c>
    </row>
    <row r="407" spans="1:1">
      <c r="A407">
        <v>197</v>
      </c>
    </row>
    <row r="408" spans="1:1">
      <c r="A408">
        <v>198</v>
      </c>
    </row>
    <row r="409" spans="1:1">
      <c r="A409">
        <v>199</v>
      </c>
    </row>
    <row r="410" spans="1:1">
      <c r="A410">
        <v>200</v>
      </c>
    </row>
    <row r="411" spans="1:1">
      <c r="A411">
        <v>201</v>
      </c>
    </row>
    <row r="412" spans="1:1">
      <c r="A412">
        <v>202</v>
      </c>
    </row>
    <row r="413" spans="1:1">
      <c r="A413">
        <v>203</v>
      </c>
    </row>
    <row r="414" spans="1:1">
      <c r="A414">
        <v>204</v>
      </c>
    </row>
    <row r="415" spans="1:1">
      <c r="A415">
        <v>205</v>
      </c>
    </row>
    <row r="416" spans="1:1">
      <c r="A416">
        <v>206</v>
      </c>
    </row>
    <row r="417" spans="1:1">
      <c r="A417">
        <v>207</v>
      </c>
    </row>
    <row r="418" spans="1:1">
      <c r="A418">
        <v>208</v>
      </c>
    </row>
    <row r="419" spans="1:1">
      <c r="A419">
        <v>209</v>
      </c>
    </row>
    <row r="420" spans="1:1">
      <c r="A420">
        <v>210</v>
      </c>
    </row>
    <row r="421" spans="1:1">
      <c r="A421">
        <v>211</v>
      </c>
    </row>
    <row r="422" spans="1:1">
      <c r="A422">
        <v>212</v>
      </c>
    </row>
    <row r="423" spans="1:1">
      <c r="A423">
        <v>213</v>
      </c>
    </row>
    <row r="424" spans="1:1">
      <c r="A424">
        <v>214</v>
      </c>
    </row>
    <row r="425" spans="1:1">
      <c r="A425">
        <v>215</v>
      </c>
    </row>
    <row r="426" spans="1:1">
      <c r="A426">
        <v>216</v>
      </c>
    </row>
    <row r="427" spans="1:1">
      <c r="A427">
        <v>217</v>
      </c>
    </row>
    <row r="428" spans="1:1">
      <c r="A428">
        <v>218</v>
      </c>
    </row>
    <row r="429" spans="1:1">
      <c r="A429">
        <v>219</v>
      </c>
    </row>
    <row r="430" spans="1:1">
      <c r="A430">
        <v>220</v>
      </c>
    </row>
    <row r="431" spans="1:1">
      <c r="A431">
        <v>221</v>
      </c>
    </row>
    <row r="432" spans="1:1">
      <c r="A432">
        <v>222</v>
      </c>
    </row>
    <row r="433" spans="1:1">
      <c r="A433">
        <v>223</v>
      </c>
    </row>
    <row r="434" spans="1:1">
      <c r="A434">
        <v>224</v>
      </c>
    </row>
    <row r="435" spans="1:1">
      <c r="A435">
        <v>225</v>
      </c>
    </row>
    <row r="436" spans="1:1">
      <c r="A436">
        <v>226</v>
      </c>
    </row>
    <row r="437" spans="1:1">
      <c r="A437">
        <v>227</v>
      </c>
    </row>
    <row r="438" spans="1:1">
      <c r="A438">
        <v>228</v>
      </c>
    </row>
    <row r="439" spans="1:1">
      <c r="A439">
        <v>229</v>
      </c>
    </row>
    <row r="440" spans="1:1">
      <c r="A440">
        <v>230</v>
      </c>
    </row>
    <row r="441" spans="1:1">
      <c r="A441">
        <v>231</v>
      </c>
    </row>
    <row r="442" spans="1:1">
      <c r="A442">
        <v>232</v>
      </c>
    </row>
    <row r="443" spans="1:1">
      <c r="A443">
        <v>233</v>
      </c>
    </row>
    <row r="444" spans="1:1">
      <c r="A444">
        <v>234</v>
      </c>
    </row>
    <row r="445" spans="1:1">
      <c r="A445">
        <v>235</v>
      </c>
    </row>
    <row r="446" spans="1:1">
      <c r="A446">
        <v>236</v>
      </c>
    </row>
    <row r="447" spans="1:1">
      <c r="A447">
        <v>237</v>
      </c>
    </row>
    <row r="448" spans="1:1">
      <c r="A448">
        <v>238</v>
      </c>
    </row>
    <row r="449" spans="1:1">
      <c r="A449">
        <v>239</v>
      </c>
    </row>
    <row r="450" spans="1:1">
      <c r="A450">
        <v>240</v>
      </c>
    </row>
    <row r="451" spans="1:1">
      <c r="A451">
        <v>241</v>
      </c>
    </row>
    <row r="452" spans="1:1">
      <c r="A452">
        <v>242</v>
      </c>
    </row>
    <row r="453" spans="1:1">
      <c r="A453">
        <v>243</v>
      </c>
    </row>
    <row r="454" spans="1:1">
      <c r="A454">
        <v>244</v>
      </c>
    </row>
    <row r="455" spans="1:1">
      <c r="A455">
        <v>245</v>
      </c>
    </row>
    <row r="456" spans="1:1">
      <c r="A456">
        <v>246</v>
      </c>
    </row>
    <row r="457" spans="1:1">
      <c r="A457">
        <v>247</v>
      </c>
    </row>
    <row r="458" spans="1:1">
      <c r="A458">
        <v>248</v>
      </c>
    </row>
    <row r="459" spans="1:1">
      <c r="A459">
        <v>249</v>
      </c>
    </row>
    <row r="460" spans="1:1">
      <c r="A460">
        <v>250</v>
      </c>
    </row>
    <row r="461" spans="1:1">
      <c r="A461">
        <v>251</v>
      </c>
    </row>
    <row r="462" spans="1:1">
      <c r="A462">
        <v>252</v>
      </c>
    </row>
    <row r="463" spans="1:1">
      <c r="A463">
        <v>253</v>
      </c>
    </row>
    <row r="464" spans="1:1">
      <c r="A464">
        <v>254</v>
      </c>
    </row>
    <row r="465" spans="1:1">
      <c r="A465">
        <v>255</v>
      </c>
    </row>
    <row r="466" spans="1:1">
      <c r="A466">
        <v>256</v>
      </c>
    </row>
    <row r="467" spans="1:1">
      <c r="A467">
        <v>257</v>
      </c>
    </row>
    <row r="468" spans="1:1">
      <c r="A468">
        <v>258</v>
      </c>
    </row>
    <row r="469" spans="1:1">
      <c r="A469">
        <v>259</v>
      </c>
    </row>
    <row r="470" spans="1:1">
      <c r="A470">
        <v>260</v>
      </c>
    </row>
    <row r="471" spans="1:1">
      <c r="A471">
        <v>261</v>
      </c>
    </row>
    <row r="472" spans="1:1">
      <c r="A472">
        <v>262</v>
      </c>
    </row>
    <row r="473" spans="1:1">
      <c r="A473">
        <v>263</v>
      </c>
    </row>
    <row r="474" spans="1:1">
      <c r="A474">
        <v>264</v>
      </c>
    </row>
    <row r="475" spans="1:1">
      <c r="A475">
        <v>265</v>
      </c>
    </row>
    <row r="476" spans="1:1">
      <c r="A476">
        <v>266</v>
      </c>
    </row>
    <row r="477" spans="1:1">
      <c r="A477">
        <v>267</v>
      </c>
    </row>
    <row r="478" spans="1:1">
      <c r="A478">
        <v>268</v>
      </c>
    </row>
    <row r="479" spans="1:1">
      <c r="A479">
        <v>269</v>
      </c>
    </row>
    <row r="480" spans="1:1">
      <c r="A480">
        <v>270</v>
      </c>
    </row>
    <row r="481" spans="1:1">
      <c r="A481">
        <v>271</v>
      </c>
    </row>
    <row r="482" spans="1:1">
      <c r="A482">
        <v>272</v>
      </c>
    </row>
    <row r="483" spans="1:1">
      <c r="A483">
        <v>273</v>
      </c>
    </row>
    <row r="484" spans="1:1">
      <c r="A484">
        <v>274</v>
      </c>
    </row>
    <row r="485" spans="1:1">
      <c r="A485">
        <v>275</v>
      </c>
    </row>
    <row r="486" spans="1:1">
      <c r="A486">
        <v>276</v>
      </c>
    </row>
    <row r="487" spans="1:1">
      <c r="A487">
        <v>277</v>
      </c>
    </row>
    <row r="488" spans="1:1">
      <c r="A488">
        <v>278</v>
      </c>
    </row>
    <row r="489" spans="1:1">
      <c r="A489">
        <v>279</v>
      </c>
    </row>
    <row r="490" spans="1:1">
      <c r="A490">
        <v>280</v>
      </c>
    </row>
    <row r="491" spans="1:1">
      <c r="A491">
        <v>281</v>
      </c>
    </row>
    <row r="492" spans="1:1">
      <c r="A492">
        <v>282</v>
      </c>
    </row>
    <row r="493" spans="1:1">
      <c r="A493">
        <v>283</v>
      </c>
    </row>
    <row r="494" spans="1:1">
      <c r="A494">
        <v>284</v>
      </c>
    </row>
    <row r="495" spans="1:1">
      <c r="A495">
        <v>285</v>
      </c>
    </row>
    <row r="496" spans="1:1">
      <c r="A496">
        <v>286</v>
      </c>
    </row>
    <row r="497" spans="1:1">
      <c r="A497">
        <v>287</v>
      </c>
    </row>
    <row r="498" spans="1:1">
      <c r="A498">
        <v>288</v>
      </c>
    </row>
    <row r="499" spans="1:1">
      <c r="A499">
        <v>289</v>
      </c>
    </row>
    <row r="500" spans="1:1">
      <c r="A500">
        <v>290</v>
      </c>
    </row>
    <row r="501" spans="1:1">
      <c r="A501">
        <v>291</v>
      </c>
    </row>
    <row r="502" spans="1:1">
      <c r="A502">
        <v>292</v>
      </c>
    </row>
    <row r="503" spans="1:1">
      <c r="A503">
        <v>293</v>
      </c>
    </row>
    <row r="504" spans="1:1">
      <c r="A504">
        <v>294</v>
      </c>
    </row>
    <row r="505" spans="1:1">
      <c r="A505">
        <v>295</v>
      </c>
    </row>
    <row r="506" spans="1:1">
      <c r="A506">
        <v>296</v>
      </c>
    </row>
    <row r="507" spans="1:1">
      <c r="A507">
        <v>297</v>
      </c>
    </row>
    <row r="508" spans="1:1">
      <c r="A508">
        <v>298</v>
      </c>
    </row>
    <row r="509" spans="1:1">
      <c r="A509">
        <v>299</v>
      </c>
    </row>
    <row r="510" spans="1:1">
      <c r="A510">
        <v>300</v>
      </c>
    </row>
    <row r="511" spans="1:1">
      <c r="A511">
        <v>301</v>
      </c>
    </row>
    <row r="512" spans="1:1">
      <c r="A512">
        <v>302</v>
      </c>
    </row>
    <row r="513" spans="1:1">
      <c r="A513">
        <v>303</v>
      </c>
    </row>
    <row r="514" spans="1:1">
      <c r="A514">
        <v>304</v>
      </c>
    </row>
    <row r="515" spans="1:1">
      <c r="A515">
        <v>305</v>
      </c>
    </row>
    <row r="516" spans="1:1">
      <c r="A516">
        <v>306</v>
      </c>
    </row>
    <row r="517" spans="1:1">
      <c r="A517">
        <v>307</v>
      </c>
    </row>
    <row r="518" spans="1:1">
      <c r="A518">
        <v>308</v>
      </c>
    </row>
    <row r="519" spans="1:1">
      <c r="A519">
        <v>309</v>
      </c>
    </row>
    <row r="520" spans="1:1">
      <c r="A520">
        <v>310</v>
      </c>
    </row>
    <row r="521" spans="1:1">
      <c r="A521">
        <v>311</v>
      </c>
    </row>
    <row r="522" spans="1:1">
      <c r="A522">
        <v>312</v>
      </c>
    </row>
    <row r="523" spans="1:1">
      <c r="A523">
        <v>313</v>
      </c>
    </row>
    <row r="524" spans="1:1">
      <c r="A524">
        <v>314</v>
      </c>
    </row>
    <row r="525" spans="1:1">
      <c r="A525">
        <v>315</v>
      </c>
    </row>
    <row r="526" spans="1:1">
      <c r="A526">
        <v>316</v>
      </c>
    </row>
    <row r="527" spans="1:1">
      <c r="A527">
        <v>317</v>
      </c>
    </row>
    <row r="528" spans="1:1">
      <c r="A528">
        <v>318</v>
      </c>
    </row>
    <row r="529" spans="1:1">
      <c r="A529">
        <v>319</v>
      </c>
    </row>
    <row r="530" spans="1:1">
      <c r="A530">
        <v>320</v>
      </c>
    </row>
    <row r="531" spans="1:1">
      <c r="A531">
        <v>321</v>
      </c>
    </row>
    <row r="532" spans="1:1">
      <c r="A532">
        <v>322</v>
      </c>
    </row>
    <row r="533" spans="1:1">
      <c r="A533">
        <v>323</v>
      </c>
    </row>
    <row r="534" spans="1:1">
      <c r="A534">
        <v>324</v>
      </c>
    </row>
    <row r="535" spans="1:1">
      <c r="A535">
        <v>325</v>
      </c>
    </row>
    <row r="536" spans="1:1">
      <c r="A536">
        <v>326</v>
      </c>
    </row>
    <row r="537" spans="1:1">
      <c r="A537">
        <v>327</v>
      </c>
    </row>
    <row r="538" spans="1:1">
      <c r="A538">
        <v>328</v>
      </c>
    </row>
    <row r="539" spans="1:1">
      <c r="A539">
        <v>329</v>
      </c>
    </row>
    <row r="540" spans="1:1">
      <c r="A540">
        <v>330</v>
      </c>
    </row>
    <row r="541" spans="1:1">
      <c r="A541">
        <v>331</v>
      </c>
    </row>
    <row r="542" spans="1:1">
      <c r="A542">
        <v>332</v>
      </c>
    </row>
    <row r="543" spans="1:1">
      <c r="A543">
        <v>333</v>
      </c>
    </row>
    <row r="544" spans="1:1">
      <c r="A544">
        <v>334</v>
      </c>
    </row>
    <row r="545" spans="1:1">
      <c r="A545">
        <v>335</v>
      </c>
    </row>
    <row r="546" spans="1:1">
      <c r="A546">
        <v>336</v>
      </c>
    </row>
    <row r="547" spans="1:1">
      <c r="A547">
        <v>337</v>
      </c>
    </row>
    <row r="548" spans="1:1">
      <c r="A548">
        <v>338</v>
      </c>
    </row>
    <row r="549" spans="1:1">
      <c r="A549">
        <v>339</v>
      </c>
    </row>
    <row r="550" spans="1:1">
      <c r="A550">
        <v>340</v>
      </c>
    </row>
    <row r="551" spans="1:1">
      <c r="A551">
        <v>341</v>
      </c>
    </row>
    <row r="552" spans="1:1">
      <c r="A552">
        <v>342</v>
      </c>
    </row>
    <row r="553" spans="1:1">
      <c r="A553">
        <v>343</v>
      </c>
    </row>
    <row r="554" spans="1:1">
      <c r="A554">
        <v>344</v>
      </c>
    </row>
    <row r="555" spans="1:1">
      <c r="A555">
        <v>345</v>
      </c>
    </row>
    <row r="556" spans="1:1">
      <c r="A556">
        <v>346</v>
      </c>
    </row>
    <row r="557" spans="1:1">
      <c r="A557">
        <v>347</v>
      </c>
    </row>
    <row r="558" spans="1:1">
      <c r="A558">
        <v>348</v>
      </c>
    </row>
    <row r="559" spans="1:1">
      <c r="A559">
        <v>349</v>
      </c>
    </row>
    <row r="560" spans="1:1">
      <c r="A560">
        <v>350</v>
      </c>
    </row>
    <row r="561" spans="1:1">
      <c r="A561">
        <v>351</v>
      </c>
    </row>
    <row r="562" spans="1:1">
      <c r="A562">
        <v>352</v>
      </c>
    </row>
    <row r="563" spans="1:1">
      <c r="A563">
        <v>353</v>
      </c>
    </row>
    <row r="564" spans="1:1">
      <c r="A564">
        <v>354</v>
      </c>
    </row>
    <row r="565" spans="1:1">
      <c r="A565">
        <v>355</v>
      </c>
    </row>
    <row r="566" spans="1:1">
      <c r="A566">
        <v>356</v>
      </c>
    </row>
    <row r="567" spans="1:1">
      <c r="A567">
        <v>357</v>
      </c>
    </row>
    <row r="568" spans="1:1">
      <c r="A568">
        <v>358</v>
      </c>
    </row>
    <row r="569" spans="1:1">
      <c r="A569">
        <v>359</v>
      </c>
    </row>
    <row r="570" spans="1:1">
      <c r="A570">
        <v>360</v>
      </c>
    </row>
    <row r="571" spans="1:1">
      <c r="A571">
        <v>361</v>
      </c>
    </row>
    <row r="572" spans="1:1">
      <c r="A572">
        <v>362</v>
      </c>
    </row>
    <row r="573" spans="1:1">
      <c r="A573">
        <v>363</v>
      </c>
    </row>
    <row r="574" spans="1:1">
      <c r="A574">
        <v>364</v>
      </c>
    </row>
    <row r="575" spans="1:1">
      <c r="A575">
        <v>365</v>
      </c>
    </row>
    <row r="576" spans="1:1">
      <c r="A576">
        <v>366</v>
      </c>
    </row>
    <row r="577" spans="1:1">
      <c r="A577">
        <v>367</v>
      </c>
    </row>
    <row r="578" spans="1:1">
      <c r="A578">
        <v>368</v>
      </c>
    </row>
    <row r="579" spans="1:1">
      <c r="A579">
        <v>369</v>
      </c>
    </row>
    <row r="580" spans="1:1">
      <c r="A580">
        <v>370</v>
      </c>
    </row>
    <row r="581" spans="1:1">
      <c r="A581">
        <v>371</v>
      </c>
    </row>
    <row r="582" spans="1:1">
      <c r="A582">
        <v>372</v>
      </c>
    </row>
    <row r="583" spans="1:1">
      <c r="A583">
        <v>373</v>
      </c>
    </row>
    <row r="584" spans="1:1">
      <c r="A584">
        <v>374</v>
      </c>
    </row>
    <row r="585" spans="1:1">
      <c r="A585">
        <v>375</v>
      </c>
    </row>
    <row r="586" spans="1:1">
      <c r="A586">
        <v>376</v>
      </c>
    </row>
    <row r="587" spans="1:1">
      <c r="A587">
        <v>377</v>
      </c>
    </row>
    <row r="588" spans="1:1">
      <c r="A588">
        <v>378</v>
      </c>
    </row>
    <row r="589" spans="1:1">
      <c r="A589">
        <v>379</v>
      </c>
    </row>
    <row r="590" spans="1:1">
      <c r="A590">
        <v>380</v>
      </c>
    </row>
    <row r="591" spans="1:1">
      <c r="A591">
        <v>381</v>
      </c>
    </row>
    <row r="592" spans="1:1">
      <c r="A592">
        <v>382</v>
      </c>
    </row>
    <row r="593" spans="1:1">
      <c r="A593">
        <v>383</v>
      </c>
    </row>
    <row r="594" spans="1:1">
      <c r="A594">
        <v>384</v>
      </c>
    </row>
    <row r="595" spans="1:1">
      <c r="A595">
        <v>385</v>
      </c>
    </row>
    <row r="596" spans="1:1">
      <c r="A596">
        <v>386</v>
      </c>
    </row>
    <row r="597" spans="1:1">
      <c r="A597">
        <v>387</v>
      </c>
    </row>
    <row r="598" spans="1:1">
      <c r="A598">
        <v>388</v>
      </c>
    </row>
    <row r="599" spans="1:1">
      <c r="A599">
        <v>389</v>
      </c>
    </row>
    <row r="600" spans="1:1">
      <c r="A600">
        <v>390</v>
      </c>
    </row>
    <row r="601" spans="1:1">
      <c r="A601">
        <v>391</v>
      </c>
    </row>
    <row r="602" spans="1:1">
      <c r="A602">
        <v>392</v>
      </c>
    </row>
    <row r="603" spans="1:1">
      <c r="A603">
        <v>393</v>
      </c>
    </row>
    <row r="604" spans="1:1">
      <c r="A604">
        <v>394</v>
      </c>
    </row>
    <row r="605" spans="1:1">
      <c r="A605">
        <v>395</v>
      </c>
    </row>
    <row r="606" spans="1:1">
      <c r="A606">
        <v>396</v>
      </c>
    </row>
    <row r="607" spans="1:1">
      <c r="A607">
        <v>397</v>
      </c>
    </row>
    <row r="608" spans="1:1">
      <c r="A608">
        <v>398</v>
      </c>
    </row>
    <row r="609" spans="1:1">
      <c r="A609">
        <v>399</v>
      </c>
    </row>
    <row r="610" spans="1:1">
      <c r="A610">
        <v>400</v>
      </c>
    </row>
    <row r="611" spans="1:1">
      <c r="A611">
        <v>401</v>
      </c>
    </row>
    <row r="612" spans="1:1">
      <c r="A612">
        <v>402</v>
      </c>
    </row>
    <row r="613" spans="1:1">
      <c r="A613">
        <v>403</v>
      </c>
    </row>
    <row r="614" spans="1:1">
      <c r="A614">
        <v>404</v>
      </c>
    </row>
    <row r="615" spans="1:1">
      <c r="A615">
        <v>405</v>
      </c>
    </row>
    <row r="616" spans="1:1">
      <c r="A616">
        <v>406</v>
      </c>
    </row>
    <row r="617" spans="1:1">
      <c r="A617">
        <v>407</v>
      </c>
    </row>
    <row r="618" spans="1:1">
      <c r="A618">
        <v>408</v>
      </c>
    </row>
    <row r="619" spans="1:1">
      <c r="A619">
        <v>409</v>
      </c>
    </row>
    <row r="620" spans="1:1">
      <c r="A620">
        <v>410</v>
      </c>
    </row>
    <row r="621" spans="1:1">
      <c r="A621">
        <v>411</v>
      </c>
    </row>
    <row r="622" spans="1:1">
      <c r="A622">
        <v>412</v>
      </c>
    </row>
    <row r="623" spans="1:1">
      <c r="A623">
        <v>413</v>
      </c>
    </row>
    <row r="624" spans="1:1">
      <c r="A624">
        <v>414</v>
      </c>
    </row>
    <row r="625" spans="1:1">
      <c r="A625">
        <v>415</v>
      </c>
    </row>
    <row r="626" spans="1:1">
      <c r="A626">
        <v>416</v>
      </c>
    </row>
    <row r="627" spans="1:1">
      <c r="A627">
        <v>417</v>
      </c>
    </row>
    <row r="628" spans="1:1">
      <c r="A628">
        <v>418</v>
      </c>
    </row>
    <row r="629" spans="1:1">
      <c r="A629">
        <v>419</v>
      </c>
    </row>
    <row r="630" spans="1:1">
      <c r="A630">
        <v>420</v>
      </c>
    </row>
    <row r="631" spans="1:1">
      <c r="A631">
        <v>421</v>
      </c>
    </row>
    <row r="632" spans="1:1">
      <c r="A632">
        <v>422</v>
      </c>
    </row>
    <row r="633" spans="1:1">
      <c r="A633">
        <v>423</v>
      </c>
    </row>
    <row r="634" spans="1:1">
      <c r="A634">
        <v>424</v>
      </c>
    </row>
    <row r="635" spans="1:1">
      <c r="A635">
        <v>425</v>
      </c>
    </row>
    <row r="636" spans="1:1">
      <c r="A636">
        <v>426</v>
      </c>
    </row>
    <row r="637" spans="1:1">
      <c r="A637">
        <v>427</v>
      </c>
    </row>
    <row r="638" spans="1:1">
      <c r="A638">
        <v>428</v>
      </c>
    </row>
    <row r="639" spans="1:1">
      <c r="A639">
        <v>429</v>
      </c>
    </row>
    <row r="640" spans="1:1">
      <c r="A640">
        <v>430</v>
      </c>
    </row>
    <row r="641" spans="1:1">
      <c r="A641">
        <v>431</v>
      </c>
    </row>
    <row r="642" spans="1:1">
      <c r="A642">
        <v>432</v>
      </c>
    </row>
    <row r="643" spans="1:1">
      <c r="A643">
        <v>433</v>
      </c>
    </row>
    <row r="644" spans="1:1">
      <c r="A644">
        <v>434</v>
      </c>
    </row>
    <row r="645" spans="1:1">
      <c r="A645">
        <v>435</v>
      </c>
    </row>
    <row r="646" spans="1:1">
      <c r="A646">
        <v>436</v>
      </c>
    </row>
    <row r="647" spans="1:1">
      <c r="A647">
        <v>437</v>
      </c>
    </row>
    <row r="648" spans="1:1">
      <c r="A648">
        <v>438</v>
      </c>
    </row>
    <row r="649" spans="1:1">
      <c r="A649">
        <v>439</v>
      </c>
    </row>
    <row r="650" spans="1:1">
      <c r="A650">
        <v>440</v>
      </c>
    </row>
    <row r="651" spans="1:1">
      <c r="A651">
        <v>441</v>
      </c>
    </row>
    <row r="652" spans="1:1">
      <c r="A652">
        <v>442</v>
      </c>
    </row>
    <row r="653" spans="1:1">
      <c r="A653">
        <v>443</v>
      </c>
    </row>
    <row r="654" spans="1:1">
      <c r="A654">
        <v>444</v>
      </c>
    </row>
    <row r="655" spans="1:1">
      <c r="A655">
        <v>445</v>
      </c>
    </row>
    <row r="656" spans="1:1">
      <c r="A656">
        <v>446</v>
      </c>
    </row>
    <row r="657" spans="1:1">
      <c r="A657">
        <v>447</v>
      </c>
    </row>
    <row r="658" spans="1:1">
      <c r="A658">
        <v>448</v>
      </c>
    </row>
    <row r="659" spans="1:1">
      <c r="A659">
        <v>449</v>
      </c>
    </row>
    <row r="660" spans="1:1">
      <c r="A660">
        <v>450</v>
      </c>
    </row>
    <row r="661" spans="1:1">
      <c r="A661">
        <v>451</v>
      </c>
    </row>
    <row r="662" spans="1:1">
      <c r="A662">
        <v>452</v>
      </c>
    </row>
    <row r="663" spans="1:1">
      <c r="A663">
        <v>453</v>
      </c>
    </row>
    <row r="664" spans="1:1">
      <c r="A664">
        <v>454</v>
      </c>
    </row>
    <row r="665" spans="1:1">
      <c r="A665">
        <v>455</v>
      </c>
    </row>
    <row r="666" spans="1:1">
      <c r="A666">
        <v>456</v>
      </c>
    </row>
    <row r="667" spans="1:1">
      <c r="A667">
        <v>457</v>
      </c>
    </row>
    <row r="668" spans="1:1">
      <c r="A668">
        <v>458</v>
      </c>
    </row>
    <row r="669" spans="1:1">
      <c r="A669">
        <v>459</v>
      </c>
    </row>
    <row r="670" spans="1:1">
      <c r="A670">
        <v>460</v>
      </c>
    </row>
    <row r="671" spans="1:1">
      <c r="A671">
        <v>461</v>
      </c>
    </row>
    <row r="672" spans="1:1">
      <c r="A672">
        <v>462</v>
      </c>
    </row>
    <row r="673" spans="1:1">
      <c r="A673">
        <v>463</v>
      </c>
    </row>
    <row r="674" spans="1:1">
      <c r="A674">
        <v>464</v>
      </c>
    </row>
    <row r="675" spans="1:1">
      <c r="A675">
        <v>465</v>
      </c>
    </row>
    <row r="676" spans="1:1">
      <c r="A676">
        <v>466</v>
      </c>
    </row>
    <row r="677" spans="1:1">
      <c r="A677">
        <v>467</v>
      </c>
    </row>
    <row r="678" spans="1:1">
      <c r="A678">
        <v>468</v>
      </c>
    </row>
    <row r="679" spans="1:1">
      <c r="A679">
        <v>469</v>
      </c>
    </row>
    <row r="680" spans="1:1">
      <c r="A680">
        <v>470</v>
      </c>
    </row>
    <row r="681" spans="1:1">
      <c r="A681">
        <v>471</v>
      </c>
    </row>
    <row r="682" spans="1:1">
      <c r="A682">
        <v>472</v>
      </c>
    </row>
    <row r="683" spans="1:1">
      <c r="A683">
        <v>473</v>
      </c>
    </row>
    <row r="684" spans="1:1">
      <c r="A684">
        <v>474</v>
      </c>
    </row>
    <row r="685" spans="1:1">
      <c r="A685">
        <v>475</v>
      </c>
    </row>
    <row r="686" spans="1:1">
      <c r="A686">
        <v>476</v>
      </c>
    </row>
    <row r="687" spans="1:1">
      <c r="A687">
        <v>477</v>
      </c>
    </row>
    <row r="688" spans="1:1">
      <c r="A688">
        <v>478</v>
      </c>
    </row>
    <row r="689" spans="1:1">
      <c r="A689">
        <v>479</v>
      </c>
    </row>
    <row r="690" spans="1:1">
      <c r="A690">
        <v>480</v>
      </c>
    </row>
    <row r="691" spans="1:1">
      <c r="A691">
        <v>481</v>
      </c>
    </row>
    <row r="692" spans="1:1">
      <c r="A692">
        <v>482</v>
      </c>
    </row>
    <row r="693" spans="1:1">
      <c r="A693">
        <v>483</v>
      </c>
    </row>
    <row r="694" spans="1:1">
      <c r="A694">
        <v>484</v>
      </c>
    </row>
    <row r="695" spans="1:1">
      <c r="A695">
        <v>485</v>
      </c>
    </row>
    <row r="696" spans="1:1">
      <c r="A696">
        <v>486</v>
      </c>
    </row>
    <row r="697" spans="1:1">
      <c r="A697">
        <v>487</v>
      </c>
    </row>
    <row r="698" spans="1:1">
      <c r="A698">
        <v>488</v>
      </c>
    </row>
    <row r="699" spans="1:1">
      <c r="A699">
        <v>489</v>
      </c>
    </row>
    <row r="700" spans="1:1">
      <c r="A700">
        <v>490</v>
      </c>
    </row>
    <row r="701" spans="1:1">
      <c r="A701">
        <v>491</v>
      </c>
    </row>
    <row r="702" spans="1:1">
      <c r="A702">
        <v>492</v>
      </c>
    </row>
    <row r="703" spans="1:1">
      <c r="A703">
        <v>493</v>
      </c>
    </row>
    <row r="704" spans="1:1">
      <c r="A704">
        <v>494</v>
      </c>
    </row>
    <row r="705" spans="1:1">
      <c r="A705">
        <v>495</v>
      </c>
    </row>
    <row r="706" spans="1:1">
      <c r="A706">
        <v>496</v>
      </c>
    </row>
    <row r="707" spans="1:1">
      <c r="A707">
        <v>497</v>
      </c>
    </row>
    <row r="708" spans="1:1">
      <c r="A708">
        <v>498</v>
      </c>
    </row>
    <row r="709" spans="1:1">
      <c r="A709">
        <v>499</v>
      </c>
    </row>
    <row r="710" spans="1:1">
      <c r="A710">
        <v>500</v>
      </c>
    </row>
    <row r="711" spans="1:1">
      <c r="A711">
        <v>501</v>
      </c>
    </row>
    <row r="712" spans="1:1">
      <c r="A712">
        <v>502</v>
      </c>
    </row>
    <row r="713" spans="1:1">
      <c r="A713">
        <v>503</v>
      </c>
    </row>
    <row r="714" spans="1:1">
      <c r="A714">
        <v>504</v>
      </c>
    </row>
    <row r="715" spans="1:1">
      <c r="A715">
        <v>505</v>
      </c>
    </row>
    <row r="716" spans="1:1">
      <c r="A716">
        <v>506</v>
      </c>
    </row>
    <row r="717" spans="1:1">
      <c r="A717">
        <v>507</v>
      </c>
    </row>
    <row r="718" spans="1:1">
      <c r="A718">
        <v>508</v>
      </c>
    </row>
    <row r="719" spans="1:1">
      <c r="A719">
        <v>509</v>
      </c>
    </row>
    <row r="720" spans="1:1">
      <c r="A720">
        <v>510</v>
      </c>
    </row>
    <row r="721" spans="1:1">
      <c r="A721">
        <v>511</v>
      </c>
    </row>
    <row r="722" spans="1:1">
      <c r="A722">
        <v>512</v>
      </c>
    </row>
    <row r="723" spans="1:1">
      <c r="A723">
        <v>513</v>
      </c>
    </row>
    <row r="724" spans="1:1">
      <c r="A724">
        <v>514</v>
      </c>
    </row>
    <row r="725" spans="1:1">
      <c r="A725">
        <v>515</v>
      </c>
    </row>
    <row r="726" spans="1:1">
      <c r="A726">
        <v>516</v>
      </c>
    </row>
    <row r="727" spans="1:1">
      <c r="A727">
        <v>517</v>
      </c>
    </row>
    <row r="728" spans="1:1">
      <c r="A728">
        <v>518</v>
      </c>
    </row>
    <row r="729" spans="1:1">
      <c r="A729">
        <v>519</v>
      </c>
    </row>
    <row r="730" spans="1:1">
      <c r="A730">
        <v>520</v>
      </c>
    </row>
    <row r="731" spans="1:1">
      <c r="A731">
        <v>521</v>
      </c>
    </row>
    <row r="732" spans="1:1">
      <c r="A732">
        <v>522</v>
      </c>
    </row>
    <row r="733" spans="1:1">
      <c r="A733">
        <v>523</v>
      </c>
    </row>
    <row r="734" spans="1:1">
      <c r="A734">
        <v>524</v>
      </c>
    </row>
    <row r="735" spans="1:1">
      <c r="A735">
        <v>525</v>
      </c>
    </row>
    <row r="736" spans="1:1">
      <c r="A736">
        <v>526</v>
      </c>
    </row>
    <row r="737" spans="1:1">
      <c r="A737">
        <v>527</v>
      </c>
    </row>
    <row r="738" spans="1:1">
      <c r="A738">
        <v>528</v>
      </c>
    </row>
    <row r="739" spans="1:1">
      <c r="A739">
        <v>529</v>
      </c>
    </row>
    <row r="740" spans="1:1">
      <c r="A740">
        <v>530</v>
      </c>
    </row>
    <row r="741" spans="1:1">
      <c r="A741">
        <v>531</v>
      </c>
    </row>
    <row r="742" spans="1:1">
      <c r="A742">
        <v>532</v>
      </c>
    </row>
    <row r="743" spans="1:1">
      <c r="A743">
        <v>533</v>
      </c>
    </row>
    <row r="744" spans="1:1">
      <c r="A744">
        <v>534</v>
      </c>
    </row>
    <row r="745" spans="1:1">
      <c r="A745">
        <v>535</v>
      </c>
    </row>
    <row r="746" spans="1:1">
      <c r="A746">
        <v>536</v>
      </c>
    </row>
    <row r="747" spans="1:1">
      <c r="A747">
        <v>537</v>
      </c>
    </row>
    <row r="748" spans="1:1">
      <c r="A748">
        <v>538</v>
      </c>
    </row>
    <row r="749" spans="1:1">
      <c r="A749">
        <v>539</v>
      </c>
    </row>
    <row r="750" spans="1:1">
      <c r="A750">
        <v>540</v>
      </c>
    </row>
    <row r="751" spans="1:1">
      <c r="A751">
        <v>541</v>
      </c>
    </row>
    <row r="752" spans="1:1">
      <c r="A752">
        <v>542</v>
      </c>
    </row>
    <row r="753" spans="1:1">
      <c r="A753">
        <v>543</v>
      </c>
    </row>
    <row r="754" spans="1:1">
      <c r="A754">
        <v>544</v>
      </c>
    </row>
    <row r="755" spans="1:1">
      <c r="A755">
        <v>545</v>
      </c>
    </row>
    <row r="756" spans="1:1">
      <c r="A756">
        <v>546</v>
      </c>
    </row>
    <row r="757" spans="1:1">
      <c r="A757">
        <v>547</v>
      </c>
    </row>
    <row r="758" spans="1:1">
      <c r="A758">
        <v>548</v>
      </c>
    </row>
    <row r="759" spans="1:1">
      <c r="A759">
        <v>549</v>
      </c>
    </row>
    <row r="760" spans="1:1">
      <c r="A760">
        <v>550</v>
      </c>
    </row>
    <row r="761" spans="1:1">
      <c r="A761">
        <v>551</v>
      </c>
    </row>
    <row r="762" spans="1:1">
      <c r="A762">
        <v>552</v>
      </c>
    </row>
    <row r="763" spans="1:1">
      <c r="A763">
        <v>553</v>
      </c>
    </row>
    <row r="764" spans="1:1">
      <c r="A764">
        <v>554</v>
      </c>
    </row>
    <row r="765" spans="1:1">
      <c r="A765">
        <v>555</v>
      </c>
    </row>
    <row r="766" spans="1:1">
      <c r="A766">
        <v>556</v>
      </c>
    </row>
    <row r="767" spans="1:1">
      <c r="A767">
        <v>557</v>
      </c>
    </row>
    <row r="768" spans="1:1">
      <c r="A768">
        <v>558</v>
      </c>
    </row>
    <row r="769" spans="1:1">
      <c r="A769">
        <v>559</v>
      </c>
    </row>
    <row r="770" spans="1:1">
      <c r="A770">
        <v>560</v>
      </c>
    </row>
    <row r="771" spans="1:1">
      <c r="A771">
        <v>561</v>
      </c>
    </row>
    <row r="772" spans="1:1">
      <c r="A772">
        <v>562</v>
      </c>
    </row>
    <row r="773" spans="1:1">
      <c r="A773">
        <v>563</v>
      </c>
    </row>
    <row r="774" spans="1:1">
      <c r="A774">
        <v>564</v>
      </c>
    </row>
    <row r="775" spans="1:1">
      <c r="A775">
        <v>565</v>
      </c>
    </row>
    <row r="776" spans="1:1">
      <c r="A776">
        <v>566</v>
      </c>
    </row>
    <row r="777" spans="1:1">
      <c r="A777">
        <v>567</v>
      </c>
    </row>
    <row r="778" spans="1:1">
      <c r="A778">
        <v>568</v>
      </c>
    </row>
    <row r="779" spans="1:1">
      <c r="A779">
        <v>569</v>
      </c>
    </row>
    <row r="780" spans="1:1">
      <c r="A780">
        <v>570</v>
      </c>
    </row>
    <row r="781" spans="1:1">
      <c r="A781">
        <v>571</v>
      </c>
    </row>
    <row r="782" spans="1:1">
      <c r="A782">
        <v>572</v>
      </c>
    </row>
    <row r="783" spans="1:1">
      <c r="A783">
        <v>573</v>
      </c>
    </row>
    <row r="784" spans="1:1">
      <c r="A784">
        <v>574</v>
      </c>
    </row>
    <row r="785" spans="1:1">
      <c r="A785">
        <v>575</v>
      </c>
    </row>
    <row r="786" spans="1:1">
      <c r="A786">
        <v>576</v>
      </c>
    </row>
    <row r="787" spans="1:1">
      <c r="A787">
        <v>577</v>
      </c>
    </row>
    <row r="788" spans="1:1">
      <c r="A788">
        <v>578</v>
      </c>
    </row>
    <row r="789" spans="1:1">
      <c r="A789">
        <v>579</v>
      </c>
    </row>
    <row r="790" spans="1:1">
      <c r="A790">
        <v>580</v>
      </c>
    </row>
    <row r="791" spans="1:1">
      <c r="A791">
        <v>581</v>
      </c>
    </row>
    <row r="792" spans="1:1">
      <c r="A792">
        <v>582</v>
      </c>
    </row>
    <row r="793" spans="1:1">
      <c r="A793">
        <v>583</v>
      </c>
    </row>
    <row r="794" spans="1:1">
      <c r="A794">
        <v>584</v>
      </c>
    </row>
    <row r="795" spans="1:1">
      <c r="A795">
        <v>585</v>
      </c>
    </row>
    <row r="796" spans="1:1">
      <c r="A796">
        <v>586</v>
      </c>
    </row>
    <row r="797" spans="1:1">
      <c r="A797">
        <v>587</v>
      </c>
    </row>
    <row r="798" spans="1:1">
      <c r="A798">
        <v>588</v>
      </c>
    </row>
    <row r="799" spans="1:1">
      <c r="A799">
        <v>589</v>
      </c>
    </row>
    <row r="800" spans="1:1">
      <c r="A800">
        <v>590</v>
      </c>
    </row>
    <row r="801" spans="1:1">
      <c r="A801">
        <v>591</v>
      </c>
    </row>
    <row r="802" spans="1:1">
      <c r="A802">
        <v>592</v>
      </c>
    </row>
    <row r="803" spans="1:1">
      <c r="A803">
        <v>593</v>
      </c>
    </row>
    <row r="804" spans="1:1">
      <c r="A804">
        <v>594</v>
      </c>
    </row>
    <row r="805" spans="1:1">
      <c r="A805">
        <v>595</v>
      </c>
    </row>
    <row r="806" spans="1:1">
      <c r="A806">
        <v>596</v>
      </c>
    </row>
    <row r="807" spans="1:1">
      <c r="A807">
        <v>597</v>
      </c>
    </row>
    <row r="808" spans="1:1">
      <c r="A808">
        <v>598</v>
      </c>
    </row>
    <row r="809" spans="1:1">
      <c r="A809">
        <v>599</v>
      </c>
    </row>
    <row r="810" spans="1:1">
      <c r="A810">
        <v>600</v>
      </c>
    </row>
    <row r="811" spans="1:1">
      <c r="A811">
        <v>601</v>
      </c>
    </row>
    <row r="812" spans="1:1">
      <c r="A812">
        <v>602</v>
      </c>
    </row>
    <row r="813" spans="1:1">
      <c r="A813">
        <v>603</v>
      </c>
    </row>
    <row r="814" spans="1:1">
      <c r="A814">
        <v>604</v>
      </c>
    </row>
    <row r="815" spans="1:1">
      <c r="A815">
        <v>605</v>
      </c>
    </row>
    <row r="816" spans="1:1">
      <c r="A816">
        <v>606</v>
      </c>
    </row>
    <row r="817" spans="1:1">
      <c r="A817">
        <v>607</v>
      </c>
    </row>
    <row r="818" spans="1:1">
      <c r="A818">
        <v>608</v>
      </c>
    </row>
    <row r="819" spans="1:1">
      <c r="A819">
        <v>609</v>
      </c>
    </row>
    <row r="820" spans="1:1">
      <c r="A820">
        <v>610</v>
      </c>
    </row>
    <row r="821" spans="1:1">
      <c r="A821">
        <v>611</v>
      </c>
    </row>
    <row r="822" spans="1:1">
      <c r="A822">
        <v>612</v>
      </c>
    </row>
    <row r="823" spans="1:1">
      <c r="A823">
        <v>613</v>
      </c>
    </row>
    <row r="824" spans="1:1">
      <c r="A824">
        <v>614</v>
      </c>
    </row>
    <row r="825" spans="1:1">
      <c r="A825">
        <v>615</v>
      </c>
    </row>
    <row r="826" spans="1:1">
      <c r="A826">
        <v>616</v>
      </c>
    </row>
    <row r="827" spans="1:1">
      <c r="A827">
        <v>617</v>
      </c>
    </row>
    <row r="828" spans="1:1">
      <c r="A828">
        <v>618</v>
      </c>
    </row>
    <row r="829" spans="1:1">
      <c r="A829">
        <v>619</v>
      </c>
    </row>
    <row r="830" spans="1:1">
      <c r="A830">
        <v>620</v>
      </c>
    </row>
    <row r="831" spans="1:1">
      <c r="A831">
        <v>621</v>
      </c>
    </row>
    <row r="832" spans="1:1">
      <c r="A832">
        <v>622</v>
      </c>
    </row>
    <row r="833" spans="1:1">
      <c r="A833">
        <v>623</v>
      </c>
    </row>
    <row r="834" spans="1:1">
      <c r="A834">
        <v>624</v>
      </c>
    </row>
    <row r="835" spans="1:1">
      <c r="A835">
        <v>625</v>
      </c>
    </row>
    <row r="836" spans="1:1">
      <c r="A836">
        <v>626</v>
      </c>
    </row>
    <row r="837" spans="1:1">
      <c r="A837">
        <v>627</v>
      </c>
    </row>
    <row r="838" spans="1:1">
      <c r="A838">
        <v>628</v>
      </c>
    </row>
    <row r="839" spans="1:1">
      <c r="A839">
        <v>629</v>
      </c>
    </row>
    <row r="840" spans="1:1">
      <c r="A840">
        <v>630</v>
      </c>
    </row>
    <row r="841" spans="1:1">
      <c r="A841">
        <v>631</v>
      </c>
    </row>
    <row r="842" spans="1:1">
      <c r="A842">
        <v>632</v>
      </c>
    </row>
    <row r="843" spans="1:1">
      <c r="A843">
        <v>633</v>
      </c>
    </row>
    <row r="844" spans="1:1">
      <c r="A844">
        <v>634</v>
      </c>
    </row>
    <row r="845" spans="1:1">
      <c r="A845">
        <v>635</v>
      </c>
    </row>
    <row r="846" spans="1:1">
      <c r="A846">
        <v>636</v>
      </c>
    </row>
    <row r="847" spans="1:1">
      <c r="A847">
        <v>637</v>
      </c>
    </row>
    <row r="848" spans="1:1">
      <c r="A848">
        <v>638</v>
      </c>
    </row>
    <row r="849" spans="1:1">
      <c r="A849">
        <v>639</v>
      </c>
    </row>
    <row r="850" spans="1:1">
      <c r="A850">
        <v>640</v>
      </c>
    </row>
    <row r="851" spans="1:1">
      <c r="A851">
        <v>641</v>
      </c>
    </row>
    <row r="852" spans="1:1">
      <c r="A852">
        <v>642</v>
      </c>
    </row>
    <row r="853" spans="1:1">
      <c r="A853">
        <v>643</v>
      </c>
    </row>
    <row r="854" spans="1:1">
      <c r="A854">
        <v>644</v>
      </c>
    </row>
    <row r="855" spans="1:1">
      <c r="A855">
        <v>645</v>
      </c>
    </row>
    <row r="856" spans="1:1">
      <c r="A856">
        <v>646</v>
      </c>
    </row>
    <row r="857" spans="1:1">
      <c r="A857">
        <v>647</v>
      </c>
    </row>
    <row r="858" spans="1:1">
      <c r="A858">
        <v>648</v>
      </c>
    </row>
    <row r="859" spans="1:1">
      <c r="A859">
        <v>649</v>
      </c>
    </row>
    <row r="860" spans="1:1">
      <c r="A860">
        <v>650</v>
      </c>
    </row>
    <row r="861" spans="1:1">
      <c r="A861">
        <v>651</v>
      </c>
    </row>
    <row r="862" spans="1:1">
      <c r="A862">
        <v>652</v>
      </c>
    </row>
    <row r="863" spans="1:1">
      <c r="A863">
        <v>653</v>
      </c>
    </row>
    <row r="864" spans="1:1">
      <c r="A864">
        <v>654</v>
      </c>
    </row>
    <row r="865" spans="1:1">
      <c r="A865">
        <v>655</v>
      </c>
    </row>
    <row r="866" spans="1:1">
      <c r="A866">
        <v>656</v>
      </c>
    </row>
    <row r="867" spans="1:1">
      <c r="A867">
        <v>657</v>
      </c>
    </row>
    <row r="868" spans="1:1">
      <c r="A868">
        <v>658</v>
      </c>
    </row>
    <row r="869" spans="1:1">
      <c r="A869">
        <v>659</v>
      </c>
    </row>
    <row r="870" spans="1:1">
      <c r="A870">
        <v>660</v>
      </c>
    </row>
    <row r="871" spans="1:1">
      <c r="A871">
        <v>661</v>
      </c>
    </row>
    <row r="872" spans="1:1">
      <c r="A872">
        <v>662</v>
      </c>
    </row>
    <row r="873" spans="1:1">
      <c r="A873">
        <v>663</v>
      </c>
    </row>
    <row r="874" spans="1:1">
      <c r="A874">
        <v>664</v>
      </c>
    </row>
    <row r="875" spans="1:1">
      <c r="A875">
        <v>665</v>
      </c>
    </row>
    <row r="876" spans="1:1">
      <c r="A876">
        <v>666</v>
      </c>
    </row>
    <row r="877" spans="1:1">
      <c r="A877">
        <v>667</v>
      </c>
    </row>
    <row r="878" spans="1:1">
      <c r="A878">
        <v>668</v>
      </c>
    </row>
    <row r="879" spans="1:1">
      <c r="A879">
        <v>669</v>
      </c>
    </row>
    <row r="880" spans="1:1">
      <c r="A880">
        <v>670</v>
      </c>
    </row>
    <row r="881" spans="1:1">
      <c r="A881">
        <v>671</v>
      </c>
    </row>
    <row r="882" spans="1:1">
      <c r="A882">
        <v>672</v>
      </c>
    </row>
    <row r="883" spans="1:1">
      <c r="A883">
        <v>673</v>
      </c>
    </row>
    <row r="884" spans="1:1">
      <c r="A884">
        <v>674</v>
      </c>
    </row>
    <row r="885" spans="1:1">
      <c r="A885">
        <v>675</v>
      </c>
    </row>
    <row r="886" spans="1:1">
      <c r="A886">
        <v>676</v>
      </c>
    </row>
    <row r="887" spans="1:1">
      <c r="A887">
        <v>677</v>
      </c>
    </row>
    <row r="888" spans="1:1">
      <c r="A888">
        <v>678</v>
      </c>
    </row>
    <row r="889" spans="1:1">
      <c r="A889">
        <v>679</v>
      </c>
    </row>
    <row r="890" spans="1:1">
      <c r="A890">
        <v>680</v>
      </c>
    </row>
    <row r="891" spans="1:1">
      <c r="A891">
        <v>681</v>
      </c>
    </row>
    <row r="892" spans="1:1">
      <c r="A892">
        <v>682</v>
      </c>
    </row>
    <row r="893" spans="1:1">
      <c r="A893">
        <v>683</v>
      </c>
    </row>
    <row r="894" spans="1:1">
      <c r="A894">
        <v>684</v>
      </c>
    </row>
    <row r="895" spans="1:1">
      <c r="A895">
        <v>685</v>
      </c>
    </row>
    <row r="896" spans="1:1">
      <c r="A896">
        <v>686</v>
      </c>
    </row>
    <row r="897" spans="1:1">
      <c r="A897">
        <v>687</v>
      </c>
    </row>
    <row r="898" spans="1:1">
      <c r="A898">
        <v>688</v>
      </c>
    </row>
    <row r="899" spans="1:1">
      <c r="A899">
        <v>689</v>
      </c>
    </row>
    <row r="900" spans="1:1">
      <c r="A900">
        <v>690</v>
      </c>
    </row>
    <row r="901" spans="1:1">
      <c r="A901">
        <v>691</v>
      </c>
    </row>
    <row r="902" spans="1:1">
      <c r="A902">
        <v>692</v>
      </c>
    </row>
    <row r="903" spans="1:1">
      <c r="A903">
        <v>693</v>
      </c>
    </row>
    <row r="904" spans="1:1">
      <c r="A904">
        <v>694</v>
      </c>
    </row>
    <row r="905" spans="1:1">
      <c r="A905">
        <v>695</v>
      </c>
    </row>
    <row r="906" spans="1:1">
      <c r="A906">
        <v>696</v>
      </c>
    </row>
    <row r="907" spans="1:1">
      <c r="A907">
        <v>697</v>
      </c>
    </row>
    <row r="908" spans="1:1">
      <c r="A908">
        <v>698</v>
      </c>
    </row>
    <row r="909" spans="1:1">
      <c r="A909">
        <v>699</v>
      </c>
    </row>
    <row r="910" spans="1:1">
      <c r="A910">
        <v>700</v>
      </c>
    </row>
    <row r="911" spans="1:1">
      <c r="A911">
        <v>701</v>
      </c>
    </row>
    <row r="912" spans="1:1">
      <c r="A912">
        <v>702</v>
      </c>
    </row>
    <row r="913" spans="1:1">
      <c r="A913">
        <v>703</v>
      </c>
    </row>
    <row r="914" spans="1:1">
      <c r="A914">
        <v>704</v>
      </c>
    </row>
    <row r="915" spans="1:1">
      <c r="A915">
        <v>705</v>
      </c>
    </row>
    <row r="916" spans="1:1">
      <c r="A916">
        <v>706</v>
      </c>
    </row>
    <row r="917" spans="1:1">
      <c r="A917">
        <v>707</v>
      </c>
    </row>
    <row r="918" spans="1:1">
      <c r="A918">
        <v>708</v>
      </c>
    </row>
    <row r="919" spans="1:1">
      <c r="A919">
        <v>709</v>
      </c>
    </row>
    <row r="920" spans="1:1">
      <c r="A920">
        <v>710</v>
      </c>
    </row>
    <row r="921" spans="1:1">
      <c r="A921">
        <v>711</v>
      </c>
    </row>
    <row r="922" spans="1:1">
      <c r="A922">
        <v>712</v>
      </c>
    </row>
    <row r="923" spans="1:1">
      <c r="A923">
        <v>713</v>
      </c>
    </row>
    <row r="924" spans="1:1">
      <c r="A924">
        <v>714</v>
      </c>
    </row>
    <row r="925" spans="1:1">
      <c r="A925">
        <v>715</v>
      </c>
    </row>
    <row r="926" spans="1:1">
      <c r="A926">
        <v>716</v>
      </c>
    </row>
    <row r="927" spans="1:1">
      <c r="A927">
        <v>717</v>
      </c>
    </row>
    <row r="928" spans="1:1">
      <c r="A928">
        <v>718</v>
      </c>
    </row>
    <row r="929" spans="1:1">
      <c r="A929">
        <v>719</v>
      </c>
    </row>
    <row r="930" spans="1:1">
      <c r="A930">
        <v>720</v>
      </c>
    </row>
    <row r="931" spans="1:1">
      <c r="A931">
        <v>721</v>
      </c>
    </row>
    <row r="932" spans="1:1">
      <c r="A932">
        <v>722</v>
      </c>
    </row>
    <row r="933" spans="1:1">
      <c r="A933">
        <v>723</v>
      </c>
    </row>
    <row r="934" spans="1:1">
      <c r="A934">
        <v>724</v>
      </c>
    </row>
    <row r="935" spans="1:1">
      <c r="A935">
        <v>725</v>
      </c>
    </row>
    <row r="936" spans="1:1">
      <c r="A936">
        <v>726</v>
      </c>
    </row>
    <row r="937" spans="1:1">
      <c r="A937">
        <v>727</v>
      </c>
    </row>
    <row r="938" spans="1:1">
      <c r="A938">
        <v>728</v>
      </c>
    </row>
    <row r="939" spans="1:1">
      <c r="A939">
        <v>729</v>
      </c>
    </row>
    <row r="940" spans="1:1">
      <c r="A940">
        <v>730</v>
      </c>
    </row>
    <row r="941" spans="1:1">
      <c r="A941">
        <v>731</v>
      </c>
    </row>
    <row r="942" spans="1:1">
      <c r="A942">
        <v>732</v>
      </c>
    </row>
    <row r="943" spans="1:1">
      <c r="A943">
        <v>733</v>
      </c>
    </row>
    <row r="944" spans="1:1">
      <c r="A944">
        <v>734</v>
      </c>
    </row>
    <row r="945" spans="1:1">
      <c r="A945">
        <v>735</v>
      </c>
    </row>
    <row r="946" spans="1:1">
      <c r="A946">
        <v>736</v>
      </c>
    </row>
    <row r="947" spans="1:1">
      <c r="A947">
        <v>737</v>
      </c>
    </row>
    <row r="948" spans="1:1">
      <c r="A948">
        <v>738</v>
      </c>
    </row>
    <row r="949" spans="1:1">
      <c r="A949">
        <v>739</v>
      </c>
    </row>
    <row r="950" spans="1:1">
      <c r="A950">
        <v>740</v>
      </c>
    </row>
    <row r="951" spans="1:1">
      <c r="A951">
        <v>741</v>
      </c>
    </row>
    <row r="952" spans="1:1">
      <c r="A952">
        <v>742</v>
      </c>
    </row>
    <row r="953" spans="1:1">
      <c r="A953">
        <v>743</v>
      </c>
    </row>
    <row r="954" spans="1:1">
      <c r="A954">
        <v>744</v>
      </c>
    </row>
    <row r="955" spans="1:1">
      <c r="A955">
        <v>745</v>
      </c>
    </row>
    <row r="956" spans="1:1">
      <c r="A956">
        <v>746</v>
      </c>
    </row>
    <row r="957" spans="1:1">
      <c r="A957">
        <v>747</v>
      </c>
    </row>
    <row r="958" spans="1:1">
      <c r="A958">
        <v>748</v>
      </c>
    </row>
    <row r="959" spans="1:1">
      <c r="A959">
        <v>749</v>
      </c>
    </row>
    <row r="960" spans="1:1">
      <c r="A960">
        <v>750</v>
      </c>
    </row>
    <row r="961" spans="1:1">
      <c r="A961">
        <v>751</v>
      </c>
    </row>
    <row r="962" spans="1:1">
      <c r="A962">
        <v>752</v>
      </c>
    </row>
    <row r="963" spans="1:1">
      <c r="A963">
        <v>753</v>
      </c>
    </row>
    <row r="964" spans="1:1">
      <c r="A964">
        <v>754</v>
      </c>
    </row>
    <row r="965" spans="1:1">
      <c r="A965">
        <v>755</v>
      </c>
    </row>
    <row r="966" spans="1:1">
      <c r="A966">
        <v>756</v>
      </c>
    </row>
    <row r="967" spans="1:1">
      <c r="A967">
        <v>757</v>
      </c>
    </row>
    <row r="968" spans="1:1">
      <c r="A968">
        <v>758</v>
      </c>
    </row>
    <row r="969" spans="1:1">
      <c r="A969">
        <v>759</v>
      </c>
    </row>
    <row r="970" spans="1:1">
      <c r="A970">
        <v>760</v>
      </c>
    </row>
    <row r="971" spans="1:1">
      <c r="A971">
        <v>761</v>
      </c>
    </row>
    <row r="972" spans="1:1">
      <c r="A972">
        <v>762</v>
      </c>
    </row>
    <row r="973" spans="1:1">
      <c r="A973">
        <v>763</v>
      </c>
    </row>
    <row r="974" spans="1:1">
      <c r="A974">
        <v>764</v>
      </c>
    </row>
    <row r="975" spans="1:1">
      <c r="A975">
        <v>765</v>
      </c>
    </row>
    <row r="976" spans="1:1">
      <c r="A976">
        <v>766</v>
      </c>
    </row>
    <row r="977" spans="1:1">
      <c r="A977">
        <v>767</v>
      </c>
    </row>
    <row r="978" spans="1:1">
      <c r="A978">
        <v>768</v>
      </c>
    </row>
    <row r="979" spans="1:1">
      <c r="A979">
        <v>769</v>
      </c>
    </row>
    <row r="980" spans="1:1">
      <c r="A980">
        <v>770</v>
      </c>
    </row>
    <row r="981" spans="1:1">
      <c r="A981">
        <v>771</v>
      </c>
    </row>
    <row r="982" spans="1:1">
      <c r="A982">
        <v>772</v>
      </c>
    </row>
    <row r="983" spans="1:1">
      <c r="A983">
        <v>773</v>
      </c>
    </row>
    <row r="984" spans="1:1">
      <c r="A984">
        <v>774</v>
      </c>
    </row>
    <row r="985" spans="1:1">
      <c r="A985">
        <v>775</v>
      </c>
    </row>
    <row r="986" spans="1:1">
      <c r="A986">
        <v>776</v>
      </c>
    </row>
    <row r="987" spans="1:1">
      <c r="A987">
        <v>777</v>
      </c>
    </row>
    <row r="988" spans="1:1">
      <c r="A988">
        <v>778</v>
      </c>
    </row>
    <row r="989" spans="1:1">
      <c r="A989">
        <v>779</v>
      </c>
    </row>
    <row r="990" spans="1:1">
      <c r="A990">
        <v>780</v>
      </c>
    </row>
    <row r="991" spans="1:1">
      <c r="A991">
        <v>781</v>
      </c>
    </row>
    <row r="992" spans="1:1">
      <c r="A992">
        <v>782</v>
      </c>
    </row>
    <row r="993" spans="1:1">
      <c r="A993">
        <v>783</v>
      </c>
    </row>
    <row r="994" spans="1:1">
      <c r="A994">
        <v>784</v>
      </c>
    </row>
    <row r="995" spans="1:1">
      <c r="A995">
        <v>785</v>
      </c>
    </row>
    <row r="996" spans="1:1">
      <c r="A996">
        <v>786</v>
      </c>
    </row>
    <row r="997" spans="1:1">
      <c r="A997">
        <v>787</v>
      </c>
    </row>
    <row r="998" spans="1:1">
      <c r="A998">
        <v>788</v>
      </c>
    </row>
    <row r="999" spans="1:1">
      <c r="A999">
        <v>789</v>
      </c>
    </row>
    <row r="1000" spans="1:1">
      <c r="A1000">
        <v>790</v>
      </c>
    </row>
    <row r="1001" spans="1:1">
      <c r="A1001">
        <v>791</v>
      </c>
    </row>
    <row r="1002" spans="1:1">
      <c r="A1002">
        <v>792</v>
      </c>
    </row>
    <row r="1003" spans="1:1">
      <c r="A1003">
        <v>793</v>
      </c>
    </row>
    <row r="1004" spans="1:1">
      <c r="A1004">
        <v>794</v>
      </c>
    </row>
    <row r="1005" spans="1:1">
      <c r="A1005">
        <v>795</v>
      </c>
    </row>
    <row r="1006" spans="1:1">
      <c r="A1006">
        <v>796</v>
      </c>
    </row>
    <row r="1007" spans="1:1">
      <c r="A1007">
        <v>797</v>
      </c>
    </row>
    <row r="1008" spans="1:1">
      <c r="A1008">
        <v>798</v>
      </c>
    </row>
    <row r="1009" spans="1:1">
      <c r="A1009">
        <v>799</v>
      </c>
    </row>
    <row r="1010" spans="1:1">
      <c r="A1010">
        <v>800</v>
      </c>
    </row>
    <row r="1011" spans="1:1">
      <c r="A1011">
        <v>801</v>
      </c>
    </row>
    <row r="1012" spans="1:1">
      <c r="A1012">
        <v>802</v>
      </c>
    </row>
    <row r="1013" spans="1:1">
      <c r="A1013">
        <v>803</v>
      </c>
    </row>
    <row r="1014" spans="1:1">
      <c r="A1014">
        <v>804</v>
      </c>
    </row>
    <row r="1015" spans="1:1">
      <c r="A1015">
        <v>805</v>
      </c>
    </row>
    <row r="1016" spans="1:1">
      <c r="A1016">
        <v>806</v>
      </c>
    </row>
    <row r="1017" spans="1:1">
      <c r="A1017">
        <v>807</v>
      </c>
    </row>
    <row r="1018" spans="1:1">
      <c r="A1018">
        <v>808</v>
      </c>
    </row>
    <row r="1019" spans="1:1">
      <c r="A1019">
        <v>809</v>
      </c>
    </row>
    <row r="1020" spans="1:1">
      <c r="A1020">
        <v>810</v>
      </c>
    </row>
    <row r="1021" spans="1:1">
      <c r="A1021">
        <v>811</v>
      </c>
    </row>
    <row r="1022" spans="1:1">
      <c r="A1022">
        <v>812</v>
      </c>
    </row>
    <row r="1023" spans="1:1">
      <c r="A1023">
        <v>813</v>
      </c>
    </row>
    <row r="1024" spans="1:1">
      <c r="A1024">
        <v>814</v>
      </c>
    </row>
    <row r="1025" spans="1:1">
      <c r="A1025">
        <v>815</v>
      </c>
    </row>
    <row r="1026" spans="1:1">
      <c r="A1026">
        <v>816</v>
      </c>
    </row>
    <row r="1027" spans="1:1">
      <c r="A1027">
        <v>817</v>
      </c>
    </row>
    <row r="1028" spans="1:1">
      <c r="A1028">
        <v>818</v>
      </c>
    </row>
    <row r="1029" spans="1:1">
      <c r="A1029">
        <v>819</v>
      </c>
    </row>
    <row r="1030" spans="1:1">
      <c r="A1030">
        <v>820</v>
      </c>
    </row>
    <row r="1031" spans="1:1">
      <c r="A1031">
        <v>821</v>
      </c>
    </row>
    <row r="1032" spans="1:1">
      <c r="A1032">
        <v>822</v>
      </c>
    </row>
    <row r="1033" spans="1:1">
      <c r="A1033">
        <v>823</v>
      </c>
    </row>
    <row r="1034" spans="1:1">
      <c r="A1034">
        <v>824</v>
      </c>
    </row>
    <row r="1035" spans="1:1">
      <c r="A1035">
        <v>825</v>
      </c>
    </row>
    <row r="1036" spans="1:1">
      <c r="A1036">
        <v>826</v>
      </c>
    </row>
    <row r="1037" spans="1:1">
      <c r="A1037">
        <v>827</v>
      </c>
    </row>
    <row r="1038" spans="1:1">
      <c r="A1038">
        <v>828</v>
      </c>
    </row>
    <row r="1039" spans="1:1">
      <c r="A1039">
        <v>829</v>
      </c>
    </row>
    <row r="1040" spans="1:1">
      <c r="A1040">
        <v>830</v>
      </c>
    </row>
    <row r="1041" spans="1:1">
      <c r="A1041">
        <v>831</v>
      </c>
    </row>
    <row r="1042" spans="1:1">
      <c r="A1042">
        <v>832</v>
      </c>
    </row>
    <row r="1043" spans="1:1">
      <c r="A1043">
        <v>833</v>
      </c>
    </row>
    <row r="1044" spans="1:1">
      <c r="A1044">
        <v>834</v>
      </c>
    </row>
    <row r="1045" spans="1:1">
      <c r="A1045">
        <v>835</v>
      </c>
    </row>
    <row r="1046" spans="1:1">
      <c r="A1046">
        <v>836</v>
      </c>
    </row>
    <row r="1047" spans="1:1">
      <c r="A1047">
        <v>837</v>
      </c>
    </row>
    <row r="1048" spans="1:1">
      <c r="A1048">
        <v>838</v>
      </c>
    </row>
    <row r="1049" spans="1:1">
      <c r="A1049">
        <v>839</v>
      </c>
    </row>
    <row r="1050" spans="1:1">
      <c r="A1050">
        <v>840</v>
      </c>
    </row>
    <row r="1051" spans="1:1">
      <c r="A1051">
        <v>841</v>
      </c>
    </row>
    <row r="1052" spans="1:1">
      <c r="A1052">
        <v>842</v>
      </c>
    </row>
    <row r="1053" spans="1:1">
      <c r="A1053">
        <v>843</v>
      </c>
    </row>
    <row r="1054" spans="1:1">
      <c r="A1054">
        <v>844</v>
      </c>
    </row>
    <row r="1055" spans="1:1">
      <c r="A1055">
        <v>845</v>
      </c>
    </row>
    <row r="1056" spans="1:1">
      <c r="A1056">
        <v>846</v>
      </c>
    </row>
    <row r="1057" spans="1:1">
      <c r="A1057">
        <v>847</v>
      </c>
    </row>
    <row r="1058" spans="1:1">
      <c r="A1058">
        <v>848</v>
      </c>
    </row>
    <row r="1059" spans="1:1">
      <c r="A1059">
        <v>849</v>
      </c>
    </row>
    <row r="1060" spans="1:1">
      <c r="A1060">
        <v>850</v>
      </c>
    </row>
    <row r="1061" spans="1:1">
      <c r="A1061">
        <v>851</v>
      </c>
    </row>
    <row r="1062" spans="1:1">
      <c r="A1062">
        <v>852</v>
      </c>
    </row>
    <row r="1063" spans="1:1">
      <c r="A1063">
        <v>853</v>
      </c>
    </row>
    <row r="1064" spans="1:1">
      <c r="A1064">
        <v>854</v>
      </c>
    </row>
    <row r="1065" spans="1:1">
      <c r="A1065">
        <v>855</v>
      </c>
    </row>
    <row r="1066" spans="1:1">
      <c r="A1066">
        <v>856</v>
      </c>
    </row>
    <row r="1067" spans="1:1">
      <c r="A1067">
        <v>857</v>
      </c>
    </row>
    <row r="1068" spans="1:1">
      <c r="A1068">
        <v>858</v>
      </c>
    </row>
    <row r="1069" spans="1:1">
      <c r="A1069">
        <v>859</v>
      </c>
    </row>
    <row r="1070" spans="1:1">
      <c r="A1070">
        <v>860</v>
      </c>
    </row>
    <row r="1071" spans="1:1">
      <c r="A1071">
        <v>861</v>
      </c>
    </row>
    <row r="1072" spans="1:1">
      <c r="A1072">
        <v>862</v>
      </c>
    </row>
    <row r="1073" spans="1:1">
      <c r="A1073">
        <v>863</v>
      </c>
    </row>
    <row r="1074" spans="1:1">
      <c r="A1074">
        <v>864</v>
      </c>
    </row>
    <row r="1075" spans="1:1">
      <c r="A1075">
        <v>865</v>
      </c>
    </row>
    <row r="1076" spans="1:1">
      <c r="A1076">
        <v>866</v>
      </c>
    </row>
    <row r="1077" spans="1:1">
      <c r="A1077">
        <v>867</v>
      </c>
    </row>
    <row r="1078" spans="1:1">
      <c r="A1078">
        <v>868</v>
      </c>
    </row>
    <row r="1079" spans="1:1">
      <c r="A1079">
        <v>869</v>
      </c>
    </row>
    <row r="1080" spans="1:1">
      <c r="A1080">
        <v>870</v>
      </c>
    </row>
    <row r="1081" spans="1:1">
      <c r="A1081">
        <v>871</v>
      </c>
    </row>
    <row r="1082" spans="1:1">
      <c r="A1082">
        <v>872</v>
      </c>
    </row>
    <row r="1083" spans="1:1">
      <c r="A1083">
        <v>873</v>
      </c>
    </row>
    <row r="1084" spans="1:1">
      <c r="A1084">
        <v>874</v>
      </c>
    </row>
    <row r="1085" spans="1:1">
      <c r="A1085">
        <v>875</v>
      </c>
    </row>
    <row r="1086" spans="1:1">
      <c r="A1086">
        <v>876</v>
      </c>
    </row>
    <row r="1087" spans="1:1">
      <c r="A1087">
        <v>877</v>
      </c>
    </row>
    <row r="1088" spans="1:1">
      <c r="A1088">
        <v>878</v>
      </c>
    </row>
    <row r="1089" spans="1:1">
      <c r="A1089">
        <v>879</v>
      </c>
    </row>
    <row r="1090" spans="1:1">
      <c r="A1090">
        <v>880</v>
      </c>
    </row>
    <row r="1091" spans="1:1">
      <c r="A1091">
        <v>881</v>
      </c>
    </row>
    <row r="1092" spans="1:1">
      <c r="A1092">
        <v>882</v>
      </c>
    </row>
    <row r="1093" spans="1:1">
      <c r="A1093">
        <v>883</v>
      </c>
    </row>
    <row r="1094" spans="1:1">
      <c r="A1094">
        <v>884</v>
      </c>
    </row>
    <row r="1095" spans="1:1">
      <c r="A1095">
        <v>885</v>
      </c>
    </row>
    <row r="1096" spans="1:1">
      <c r="A1096">
        <v>886</v>
      </c>
    </row>
    <row r="1097" spans="1:1">
      <c r="A1097">
        <v>887</v>
      </c>
    </row>
    <row r="1098" spans="1:1">
      <c r="A1098">
        <v>888</v>
      </c>
    </row>
    <row r="1099" spans="1:1">
      <c r="A1099">
        <v>889</v>
      </c>
    </row>
    <row r="1100" spans="1:1">
      <c r="A1100">
        <v>890</v>
      </c>
    </row>
    <row r="1101" spans="1:1">
      <c r="A1101">
        <v>891</v>
      </c>
    </row>
    <row r="1102" spans="1:1">
      <c r="A1102">
        <v>892</v>
      </c>
    </row>
    <row r="1103" spans="1:1">
      <c r="A1103">
        <v>893</v>
      </c>
    </row>
    <row r="1104" spans="1:1">
      <c r="A1104">
        <v>894</v>
      </c>
    </row>
    <row r="1105" spans="1:1">
      <c r="A1105">
        <v>895</v>
      </c>
    </row>
    <row r="1106" spans="1:1">
      <c r="A1106">
        <v>896</v>
      </c>
    </row>
    <row r="1107" spans="1:1">
      <c r="A1107">
        <v>897</v>
      </c>
    </row>
    <row r="1108" spans="1:1">
      <c r="A1108">
        <v>898</v>
      </c>
    </row>
    <row r="1109" spans="1:1">
      <c r="A1109">
        <v>899</v>
      </c>
    </row>
    <row r="1110" spans="1:1">
      <c r="A1110">
        <v>900</v>
      </c>
    </row>
    <row r="1111" spans="1:1">
      <c r="A1111">
        <v>901</v>
      </c>
    </row>
    <row r="1112" spans="1:1">
      <c r="A1112">
        <v>902</v>
      </c>
    </row>
    <row r="1113" spans="1:1">
      <c r="A1113">
        <v>903</v>
      </c>
    </row>
    <row r="1114" spans="1:1">
      <c r="A1114">
        <v>904</v>
      </c>
    </row>
    <row r="1115" spans="1:1">
      <c r="A1115">
        <v>905</v>
      </c>
    </row>
    <row r="1116" spans="1:1">
      <c r="A1116">
        <v>906</v>
      </c>
    </row>
    <row r="1117" spans="1:1">
      <c r="A1117">
        <v>907</v>
      </c>
    </row>
    <row r="1118" spans="1:1">
      <c r="A1118">
        <v>908</v>
      </c>
    </row>
    <row r="1119" spans="1:1">
      <c r="A1119">
        <v>909</v>
      </c>
    </row>
    <row r="1120" spans="1:1">
      <c r="A1120">
        <v>910</v>
      </c>
    </row>
    <row r="1121" spans="1:1">
      <c r="A1121">
        <v>911</v>
      </c>
    </row>
    <row r="1122" spans="1:1">
      <c r="A1122">
        <v>912</v>
      </c>
    </row>
    <row r="1123" spans="1:1">
      <c r="A1123">
        <v>913</v>
      </c>
    </row>
    <row r="1124" spans="1:1">
      <c r="A1124">
        <v>914</v>
      </c>
    </row>
    <row r="1125" spans="1:1">
      <c r="A1125">
        <v>915</v>
      </c>
    </row>
    <row r="1126" spans="1:1">
      <c r="A1126">
        <v>916</v>
      </c>
    </row>
    <row r="1127" spans="1:1">
      <c r="A1127">
        <v>917</v>
      </c>
    </row>
    <row r="1128" spans="1:1">
      <c r="A1128">
        <v>918</v>
      </c>
    </row>
    <row r="1129" spans="1:1">
      <c r="A1129">
        <v>919</v>
      </c>
    </row>
    <row r="1130" spans="1:1">
      <c r="A1130">
        <v>920</v>
      </c>
    </row>
    <row r="1131" spans="1:1">
      <c r="A1131">
        <v>921</v>
      </c>
    </row>
    <row r="1132" spans="1:1">
      <c r="A1132">
        <v>922</v>
      </c>
    </row>
    <row r="1133" spans="1:1">
      <c r="A1133">
        <v>923</v>
      </c>
    </row>
    <row r="1134" spans="1:1">
      <c r="A1134">
        <v>924</v>
      </c>
    </row>
    <row r="1135" spans="1:1">
      <c r="A1135">
        <v>925</v>
      </c>
    </row>
    <row r="1136" spans="1:1">
      <c r="A1136">
        <v>926</v>
      </c>
    </row>
    <row r="1137" spans="1:1">
      <c r="A1137">
        <v>927</v>
      </c>
    </row>
    <row r="1138" spans="1:1">
      <c r="A1138">
        <v>928</v>
      </c>
    </row>
    <row r="1139" spans="1:1">
      <c r="A1139">
        <v>929</v>
      </c>
    </row>
    <row r="1140" spans="1:1">
      <c r="A1140">
        <v>930</v>
      </c>
    </row>
    <row r="1141" spans="1:1">
      <c r="A1141">
        <v>931</v>
      </c>
    </row>
    <row r="1142" spans="1:1">
      <c r="A1142">
        <v>932</v>
      </c>
    </row>
    <row r="1143" spans="1:1">
      <c r="A1143">
        <v>933</v>
      </c>
    </row>
    <row r="1144" spans="1:1">
      <c r="A1144">
        <v>934</v>
      </c>
    </row>
    <row r="1145" spans="1:1">
      <c r="A1145">
        <v>935</v>
      </c>
    </row>
    <row r="1146" spans="1:1">
      <c r="A1146">
        <v>936</v>
      </c>
    </row>
    <row r="1147" spans="1:1">
      <c r="A1147">
        <v>937</v>
      </c>
    </row>
    <row r="1148" spans="1:1">
      <c r="A1148">
        <v>938</v>
      </c>
    </row>
    <row r="1149" spans="1:1">
      <c r="A1149">
        <v>939</v>
      </c>
    </row>
    <row r="1150" spans="1:1">
      <c r="A1150">
        <v>940</v>
      </c>
    </row>
    <row r="1151" spans="1:1">
      <c r="A1151">
        <v>941</v>
      </c>
    </row>
    <row r="1152" spans="1:1">
      <c r="A1152">
        <v>942</v>
      </c>
    </row>
    <row r="1153" spans="1:1">
      <c r="A1153">
        <v>943</v>
      </c>
    </row>
    <row r="1154" spans="1:1">
      <c r="A1154">
        <v>944</v>
      </c>
    </row>
    <row r="1155" spans="1:1">
      <c r="A1155">
        <v>945</v>
      </c>
    </row>
    <row r="1156" spans="1:1">
      <c r="A1156">
        <v>946</v>
      </c>
    </row>
    <row r="1157" spans="1:1">
      <c r="A1157">
        <v>947</v>
      </c>
    </row>
    <row r="1158" spans="1:1">
      <c r="A1158">
        <v>948</v>
      </c>
    </row>
    <row r="1159" spans="1:1">
      <c r="A1159">
        <v>949</v>
      </c>
    </row>
    <row r="1160" spans="1:1">
      <c r="A1160">
        <v>950</v>
      </c>
    </row>
    <row r="1161" spans="1:1">
      <c r="A1161">
        <v>951</v>
      </c>
    </row>
    <row r="1162" spans="1:1">
      <c r="A1162">
        <v>952</v>
      </c>
    </row>
    <row r="1163" spans="1:1">
      <c r="A1163">
        <v>953</v>
      </c>
    </row>
    <row r="1164" spans="1:1">
      <c r="A1164">
        <v>954</v>
      </c>
    </row>
    <row r="1165" spans="1:1">
      <c r="A1165">
        <v>955</v>
      </c>
    </row>
    <row r="1166" spans="1:1">
      <c r="A1166">
        <v>956</v>
      </c>
    </row>
    <row r="1167" spans="1:1">
      <c r="A1167">
        <v>957</v>
      </c>
    </row>
    <row r="1168" spans="1:1">
      <c r="A1168">
        <v>958</v>
      </c>
    </row>
    <row r="1169" spans="1:1">
      <c r="A1169">
        <v>959</v>
      </c>
    </row>
    <row r="1170" spans="1:1">
      <c r="A1170">
        <v>960</v>
      </c>
    </row>
    <row r="1171" spans="1:1">
      <c r="A1171">
        <v>961</v>
      </c>
    </row>
    <row r="1172" spans="1:1">
      <c r="A1172">
        <v>962</v>
      </c>
    </row>
    <row r="1173" spans="1:1">
      <c r="A1173">
        <v>963</v>
      </c>
    </row>
    <row r="1174" spans="1:1">
      <c r="A1174">
        <v>964</v>
      </c>
    </row>
    <row r="1175" spans="1:1">
      <c r="A1175">
        <v>965</v>
      </c>
    </row>
    <row r="1176" spans="1:1">
      <c r="A1176">
        <v>966</v>
      </c>
    </row>
    <row r="1177" spans="1:1">
      <c r="A1177">
        <v>967</v>
      </c>
    </row>
    <row r="1178" spans="1:1">
      <c r="A1178">
        <v>968</v>
      </c>
    </row>
    <row r="1179" spans="1:1">
      <c r="A1179">
        <v>969</v>
      </c>
    </row>
    <row r="1180" spans="1:1">
      <c r="A1180">
        <v>970</v>
      </c>
    </row>
    <row r="1181" spans="1:1">
      <c r="A1181">
        <v>971</v>
      </c>
    </row>
    <row r="1182" spans="1:1">
      <c r="A1182">
        <v>972</v>
      </c>
    </row>
    <row r="1183" spans="1:1">
      <c r="A1183">
        <v>973</v>
      </c>
    </row>
    <row r="1184" spans="1:1">
      <c r="A1184">
        <v>974</v>
      </c>
    </row>
    <row r="1185" spans="1:1">
      <c r="A1185">
        <v>975</v>
      </c>
    </row>
    <row r="1186" spans="1:1">
      <c r="A1186">
        <v>976</v>
      </c>
    </row>
    <row r="1187" spans="1:1">
      <c r="A1187">
        <v>977</v>
      </c>
    </row>
    <row r="1188" spans="1:1">
      <c r="A1188">
        <v>978</v>
      </c>
    </row>
    <row r="1189" spans="1:1">
      <c r="A1189">
        <v>979</v>
      </c>
    </row>
    <row r="1190" spans="1:1">
      <c r="A1190">
        <v>980</v>
      </c>
    </row>
    <row r="1191" spans="1:1">
      <c r="A1191">
        <v>981</v>
      </c>
    </row>
    <row r="1192" spans="1:1">
      <c r="A1192">
        <v>982</v>
      </c>
    </row>
    <row r="1193" spans="1:1">
      <c r="A1193">
        <v>983</v>
      </c>
    </row>
    <row r="1194" spans="1:1">
      <c r="A1194">
        <v>984</v>
      </c>
    </row>
    <row r="1195" spans="1:1">
      <c r="A1195">
        <v>985</v>
      </c>
    </row>
    <row r="1196" spans="1:1">
      <c r="A1196">
        <v>986</v>
      </c>
    </row>
    <row r="1197" spans="1:1">
      <c r="A1197">
        <v>987</v>
      </c>
    </row>
    <row r="1198" spans="1:1">
      <c r="A1198">
        <v>988</v>
      </c>
    </row>
    <row r="1199" spans="1:1">
      <c r="A1199">
        <v>989</v>
      </c>
    </row>
    <row r="1200" spans="1:1">
      <c r="A1200">
        <v>990</v>
      </c>
    </row>
    <row r="1201" spans="1:1">
      <c r="A1201">
        <v>991</v>
      </c>
    </row>
    <row r="1202" spans="1:1">
      <c r="A1202">
        <v>992</v>
      </c>
    </row>
    <row r="1203" spans="1:1">
      <c r="A1203">
        <v>993</v>
      </c>
    </row>
    <row r="1204" spans="1:1">
      <c r="A1204">
        <v>994</v>
      </c>
    </row>
    <row r="1205" spans="1:1">
      <c r="A1205">
        <v>995</v>
      </c>
    </row>
    <row r="1206" spans="1:1">
      <c r="A1206">
        <v>996</v>
      </c>
    </row>
    <row r="1207" spans="1:1">
      <c r="A1207">
        <v>997</v>
      </c>
    </row>
    <row r="1208" spans="1:1">
      <c r="A1208">
        <v>998</v>
      </c>
    </row>
    <row r="1209" spans="1:1">
      <c r="A1209">
        <v>999</v>
      </c>
    </row>
    <row r="1210" spans="1:1">
      <c r="A1210">
        <v>1000</v>
      </c>
    </row>
    <row r="1211" spans="1:1">
      <c r="A1211">
        <v>1001</v>
      </c>
    </row>
    <row r="1212" spans="1:1">
      <c r="A1212">
        <v>1002</v>
      </c>
    </row>
    <row r="1213" spans="1:1">
      <c r="A1213">
        <v>1003</v>
      </c>
    </row>
    <row r="1214" spans="1:1">
      <c r="A1214">
        <v>1004</v>
      </c>
    </row>
    <row r="1215" spans="1:1">
      <c r="A1215">
        <v>1005</v>
      </c>
    </row>
    <row r="1216" spans="1:1">
      <c r="A1216">
        <v>1006</v>
      </c>
    </row>
    <row r="1217" spans="1:1">
      <c r="A1217">
        <v>1007</v>
      </c>
    </row>
    <row r="1218" spans="1:1">
      <c r="A1218">
        <v>1008</v>
      </c>
    </row>
    <row r="1219" spans="1:1">
      <c r="A1219">
        <v>1009</v>
      </c>
    </row>
    <row r="1220" spans="1:1">
      <c r="A1220">
        <v>1010</v>
      </c>
    </row>
    <row r="1221" spans="1:1">
      <c r="A1221">
        <v>1011</v>
      </c>
    </row>
    <row r="1222" spans="1:1">
      <c r="A1222">
        <v>1012</v>
      </c>
    </row>
    <row r="1223" spans="1:1">
      <c r="A1223">
        <v>1013</v>
      </c>
    </row>
    <row r="1224" spans="1:1">
      <c r="A1224">
        <v>1014</v>
      </c>
    </row>
    <row r="1225" spans="1:1">
      <c r="A1225">
        <v>1015</v>
      </c>
    </row>
    <row r="1226" spans="1:1">
      <c r="A1226">
        <v>1016</v>
      </c>
    </row>
    <row r="1227" spans="1:1">
      <c r="A1227">
        <v>1017</v>
      </c>
    </row>
    <row r="1228" spans="1:1">
      <c r="A1228">
        <v>1018</v>
      </c>
    </row>
    <row r="1229" spans="1:1">
      <c r="A1229">
        <v>1019</v>
      </c>
    </row>
    <row r="1230" spans="1:1">
      <c r="A1230">
        <v>1020</v>
      </c>
    </row>
    <row r="1231" spans="1:1">
      <c r="A1231">
        <v>1021</v>
      </c>
    </row>
    <row r="1232" spans="1:1">
      <c r="A1232">
        <v>1022</v>
      </c>
    </row>
    <row r="1233" spans="1:1">
      <c r="A1233">
        <v>1023</v>
      </c>
    </row>
    <row r="1234" spans="1:1">
      <c r="A1234">
        <v>1024</v>
      </c>
    </row>
    <row r="1235" spans="1:1">
      <c r="A1235">
        <v>1025</v>
      </c>
    </row>
    <row r="1236" spans="1:1">
      <c r="A1236">
        <v>1026</v>
      </c>
    </row>
    <row r="1237" spans="1:1">
      <c r="A1237">
        <v>1027</v>
      </c>
    </row>
    <row r="1238" spans="1:1">
      <c r="A1238">
        <v>1028</v>
      </c>
    </row>
    <row r="1239" spans="1:1">
      <c r="A1239">
        <v>1029</v>
      </c>
    </row>
    <row r="1240" spans="1:1">
      <c r="A1240">
        <v>1030</v>
      </c>
    </row>
    <row r="1241" spans="1:1">
      <c r="A1241">
        <v>1031</v>
      </c>
    </row>
    <row r="1242" spans="1:1">
      <c r="A1242">
        <v>1032</v>
      </c>
    </row>
    <row r="1243" spans="1:1">
      <c r="A1243">
        <v>1033</v>
      </c>
    </row>
    <row r="1244" spans="1:1">
      <c r="A1244">
        <v>1034</v>
      </c>
    </row>
    <row r="1245" spans="1:1">
      <c r="A1245">
        <v>1035</v>
      </c>
    </row>
    <row r="1246" spans="1:1">
      <c r="A1246">
        <v>1036</v>
      </c>
    </row>
    <row r="1247" spans="1:1">
      <c r="A1247">
        <v>1037</v>
      </c>
    </row>
    <row r="1248" spans="1:1">
      <c r="A1248">
        <v>1038</v>
      </c>
    </row>
    <row r="1249" spans="1:1">
      <c r="A1249">
        <v>1039</v>
      </c>
    </row>
    <row r="1250" spans="1:1">
      <c r="A1250">
        <v>1040</v>
      </c>
    </row>
    <row r="1251" spans="1:1">
      <c r="A1251">
        <v>1041</v>
      </c>
    </row>
    <row r="1252" spans="1:1">
      <c r="A1252">
        <v>1042</v>
      </c>
    </row>
    <row r="1253" spans="1:1">
      <c r="A1253">
        <v>1043</v>
      </c>
    </row>
    <row r="1254" spans="1:1">
      <c r="A1254">
        <v>1044</v>
      </c>
    </row>
    <row r="1255" spans="1:1">
      <c r="A1255">
        <v>1045</v>
      </c>
    </row>
    <row r="1256" spans="1:1">
      <c r="A1256">
        <v>1046</v>
      </c>
    </row>
    <row r="1257" spans="1:1">
      <c r="A1257">
        <v>1047</v>
      </c>
    </row>
    <row r="1258" spans="1:1">
      <c r="A1258">
        <v>1048</v>
      </c>
    </row>
    <row r="1259" spans="1:1">
      <c r="A1259">
        <v>1049</v>
      </c>
    </row>
    <row r="1260" spans="1:1">
      <c r="A1260">
        <v>1050</v>
      </c>
    </row>
    <row r="1261" spans="1:1">
      <c r="A1261">
        <v>1051</v>
      </c>
    </row>
    <row r="1262" spans="1:1">
      <c r="A1262">
        <v>1052</v>
      </c>
    </row>
    <row r="1263" spans="1:1">
      <c r="A1263">
        <v>1053</v>
      </c>
    </row>
    <row r="1264" spans="1:1">
      <c r="A1264">
        <v>1054</v>
      </c>
    </row>
    <row r="1265" spans="1:1">
      <c r="A1265">
        <v>1055</v>
      </c>
    </row>
    <row r="1266" spans="1:1">
      <c r="A1266">
        <v>1056</v>
      </c>
    </row>
    <row r="1267" spans="1:1">
      <c r="A1267">
        <v>1057</v>
      </c>
    </row>
    <row r="1268" spans="1:1">
      <c r="A1268">
        <v>1058</v>
      </c>
    </row>
    <row r="1269" spans="1:1">
      <c r="A1269">
        <v>1059</v>
      </c>
    </row>
    <row r="1270" spans="1:1">
      <c r="A1270">
        <v>1060</v>
      </c>
    </row>
    <row r="1271" spans="1:1">
      <c r="A1271">
        <v>1061</v>
      </c>
    </row>
    <row r="1272" spans="1:1">
      <c r="A1272">
        <v>1062</v>
      </c>
    </row>
    <row r="1273" spans="1:1">
      <c r="A1273">
        <v>1063</v>
      </c>
    </row>
    <row r="1274" spans="1:1">
      <c r="A1274">
        <v>1064</v>
      </c>
    </row>
    <row r="1275" spans="1:1">
      <c r="A1275">
        <v>1065</v>
      </c>
    </row>
    <row r="1276" spans="1:1">
      <c r="A1276">
        <v>1066</v>
      </c>
    </row>
  </sheetData>
  <autoFilter ref="A15:G64"/>
  <dataValidations count="4">
    <dataValidation type="list" allowBlank="1" showInputMessage="1" showErrorMessage="1" sqref="D2 D4">
      <formula1>$D$209:$D$211</formula1>
    </dataValidation>
    <dataValidation type="list" allowBlank="1" showInputMessage="1" showErrorMessage="1" sqref="B2 B4">
      <formula1>$B$210:$B$214</formula1>
    </dataValidation>
    <dataValidation type="list" allowBlank="1" showInputMessage="1" showErrorMessage="1" sqref="B3 H16:H64 B5:B6">
      <formula1>$A$210:$A$1276</formula1>
    </dataValidation>
    <dataValidation type="list" allowBlank="1" showInputMessage="1" showErrorMessage="1" sqref="B7">
      <formula1>$D$208:$D$209</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dimension ref="A1:S117"/>
  <sheetViews>
    <sheetView workbookViewId="0">
      <selection activeCell="B4" sqref="B4"/>
    </sheetView>
  </sheetViews>
  <sheetFormatPr defaultRowHeight="15"/>
  <cols>
    <col min="1" max="1" width="54.42578125" customWidth="1"/>
    <col min="4" max="4" width="11.42578125" customWidth="1"/>
    <col min="6" max="6" width="17.7109375" customWidth="1"/>
    <col min="7" max="7" width="39.28515625" customWidth="1"/>
    <col min="8" max="8" width="11.28515625" customWidth="1"/>
    <col min="10" max="10" width="9.140625" style="4"/>
  </cols>
  <sheetData>
    <row r="1" spans="1:14">
      <c r="A1" s="2" t="s">
        <v>559</v>
      </c>
      <c r="B1" s="66">
        <v>1</v>
      </c>
      <c r="D1" s="189" t="s">
        <v>747</v>
      </c>
      <c r="E1" s="7"/>
      <c r="F1" t="s">
        <v>681</v>
      </c>
      <c r="G1" s="179"/>
      <c r="H1" s="8"/>
      <c r="I1" s="179" t="str">
        <f>Себестоимости!B175</f>
        <v>ПРТ-20</v>
      </c>
      <c r="J1" s="89" t="str">
        <f>Себестоимости!P175</f>
        <v>прямоугольный</v>
      </c>
      <c r="K1" s="179">
        <f>IF($B$3=I1,Себестоимости!G175*$B$6,0)</f>
        <v>0</v>
      </c>
      <c r="L1" s="8">
        <v>1</v>
      </c>
      <c r="M1" s="8"/>
      <c r="N1" s="8"/>
    </row>
    <row r="2" spans="1:14">
      <c r="A2" s="2" t="s">
        <v>540</v>
      </c>
      <c r="B2" s="66">
        <v>720</v>
      </c>
      <c r="C2" t="s">
        <v>382</v>
      </c>
      <c r="G2" s="8"/>
      <c r="H2" s="8"/>
      <c r="I2" s="179" t="str">
        <f>Себестоимости!B176</f>
        <v>ПРТ-30</v>
      </c>
      <c r="J2" s="89" t="str">
        <f>Себестоимости!P176</f>
        <v>прямоугольный</v>
      </c>
      <c r="K2" s="179">
        <f>IF($B$3=I2,Себестоимости!G176*$B$6,0)</f>
        <v>0</v>
      </c>
      <c r="L2" s="8">
        <v>2</v>
      </c>
      <c r="M2" s="8"/>
      <c r="N2" s="8"/>
    </row>
    <row r="3" spans="1:14">
      <c r="A3" s="2" t="s">
        <v>560</v>
      </c>
      <c r="B3" s="178" t="s">
        <v>567</v>
      </c>
      <c r="G3" s="8"/>
      <c r="H3" s="8"/>
      <c r="I3" s="179" t="str">
        <f>Себестоимости!B177</f>
        <v>АР-20</v>
      </c>
      <c r="J3" s="89" t="str">
        <f>Себестоимости!P177</f>
        <v>арка</v>
      </c>
      <c r="K3" s="179">
        <f>IF($B$3=I3,Себестоимости!G177*$B$6,0)</f>
        <v>0</v>
      </c>
      <c r="L3" s="8"/>
      <c r="M3" s="8"/>
      <c r="N3" s="8"/>
    </row>
    <row r="4" spans="1:14">
      <c r="A4" s="2" t="s">
        <v>625</v>
      </c>
      <c r="B4" s="66" t="s">
        <v>626</v>
      </c>
      <c r="G4" s="8"/>
      <c r="H4" s="8"/>
      <c r="I4" s="179" t="str">
        <f>Себестоимости!B178</f>
        <v>АРТ-30</v>
      </c>
      <c r="J4" s="89" t="str">
        <f>Себестоимости!P178</f>
        <v>арка</v>
      </c>
      <c r="K4" s="179">
        <f>IF($B$3=I4,Себестоимости!G178*$B$6,0)</f>
        <v>2000</v>
      </c>
      <c r="L4" s="8"/>
      <c r="M4" s="8"/>
      <c r="N4" s="8"/>
    </row>
    <row r="5" spans="1:14">
      <c r="A5" s="2" t="s">
        <v>838</v>
      </c>
      <c r="B5" s="89" t="s">
        <v>93</v>
      </c>
      <c r="G5" s="8"/>
      <c r="H5" s="8"/>
      <c r="I5" s="8"/>
      <c r="J5" s="76"/>
      <c r="K5" s="8"/>
      <c r="L5" s="8"/>
      <c r="M5" s="8"/>
      <c r="N5" s="8"/>
    </row>
    <row r="6" spans="1:14">
      <c r="A6" s="2" t="s">
        <v>561</v>
      </c>
      <c r="B6">
        <v>1</v>
      </c>
      <c r="G6" s="8"/>
      <c r="H6" s="8"/>
      <c r="I6" s="8"/>
      <c r="J6" s="76"/>
      <c r="K6" s="8"/>
      <c r="L6" s="8"/>
      <c r="M6" s="8"/>
      <c r="N6" s="8"/>
    </row>
    <row r="7" spans="1:14" ht="15.75">
      <c r="A7" s="103" t="s">
        <v>383</v>
      </c>
      <c r="B7" s="77">
        <f>CEILING($D$24*((100-B25)/100),1)</f>
        <v>4371</v>
      </c>
      <c r="G7" s="8"/>
      <c r="H7" s="8"/>
      <c r="I7" s="8"/>
      <c r="J7" s="76"/>
      <c r="K7" s="8"/>
      <c r="L7" s="8"/>
      <c r="M7" s="8"/>
      <c r="N7" s="8"/>
    </row>
    <row r="8" spans="1:14">
      <c r="G8" s="8"/>
      <c r="H8" s="8"/>
      <c r="I8" s="8"/>
      <c r="J8" s="76"/>
      <c r="K8" s="8"/>
      <c r="L8" s="8"/>
      <c r="M8" s="8"/>
      <c r="N8" s="8"/>
    </row>
    <row r="9" spans="1:14">
      <c r="G9" s="8"/>
      <c r="H9" s="8"/>
      <c r="I9" s="8"/>
      <c r="J9" s="76"/>
      <c r="K9" s="8"/>
      <c r="L9" s="8"/>
      <c r="M9" s="8"/>
      <c r="N9" s="8"/>
    </row>
    <row r="10" spans="1:14">
      <c r="G10" s="8"/>
      <c r="H10" s="8"/>
      <c r="I10" s="8"/>
      <c r="J10" s="76"/>
      <c r="K10" s="8"/>
      <c r="L10" s="8"/>
      <c r="M10" s="8"/>
      <c r="N10" s="8"/>
    </row>
    <row r="13" spans="1:14" s="76" customFormat="1">
      <c r="A13" s="104" t="s">
        <v>424</v>
      </c>
    </row>
    <row r="14" spans="1:14" s="76" customFormat="1">
      <c r="F14" s="376" t="str">
        <f>CONCATENATE("Ваш заказ: ","штендер - ",B6," шт., ",A1," - ",B1," с качеством печати - ",B2," ",C2,", ",A3," - ",B3,"; ",A4," - ",B4,", ",A7,": ",B7," руб.")</f>
        <v>Ваш заказ: штендер - 1 шт., Количество сторон штендера - 1 с качеством печати - 720 dpi, Вид рамы - АРТ-30; Полотно - Пвх-лист белый 3 мм, Итого: 4371 руб.</v>
      </c>
      <c r="G14" s="376"/>
      <c r="H14" s="376"/>
      <c r="I14" s="376"/>
      <c r="J14" s="376"/>
    </row>
    <row r="15" spans="1:14" s="76" customFormat="1">
      <c r="F15" s="376"/>
      <c r="G15" s="376"/>
      <c r="H15" s="376"/>
      <c r="I15" s="376"/>
      <c r="J15" s="376"/>
    </row>
    <row r="16" spans="1:14" s="76" customFormat="1">
      <c r="A16" s="104" t="s">
        <v>372</v>
      </c>
      <c r="B16" s="76">
        <v>0.6</v>
      </c>
      <c r="C16" s="76">
        <f>IF($B$6=1,B16,IF($Q$24=1,O26,B16))</f>
        <v>0.6</v>
      </c>
      <c r="F16" s="376"/>
      <c r="G16" s="376"/>
      <c r="H16" s="376"/>
      <c r="I16" s="376"/>
      <c r="J16" s="376"/>
    </row>
    <row r="17" spans="1:19" s="76" customFormat="1">
      <c r="A17" s="104" t="s">
        <v>376</v>
      </c>
      <c r="B17" s="76">
        <v>1.2</v>
      </c>
      <c r="C17" s="76">
        <f>IF($B$6=1,B17,IF($Q$24=1,Q22,B17))</f>
        <v>1.2</v>
      </c>
      <c r="F17" s="376"/>
      <c r="G17" s="376"/>
      <c r="H17" s="376"/>
      <c r="I17" s="376"/>
      <c r="J17" s="376"/>
    </row>
    <row r="18" spans="1:19" s="76" customFormat="1">
      <c r="A18" s="104" t="s">
        <v>377</v>
      </c>
      <c r="B18" s="76">
        <v>50</v>
      </c>
      <c r="F18" s="376"/>
      <c r="G18" s="376"/>
      <c r="H18" s="376"/>
      <c r="I18" s="376"/>
      <c r="J18" s="376"/>
    </row>
    <row r="19" spans="1:19" s="76" customFormat="1">
      <c r="A19" s="104"/>
      <c r="F19" s="376"/>
      <c r="G19" s="376"/>
      <c r="H19" s="376"/>
      <c r="I19" s="376"/>
      <c r="J19" s="376"/>
    </row>
    <row r="20" spans="1:19" s="76" customFormat="1">
      <c r="A20" s="104" t="s">
        <v>378</v>
      </c>
      <c r="B20" s="76">
        <f>C16*C17</f>
        <v>0.72</v>
      </c>
      <c r="C20" s="76">
        <f>B20</f>
        <v>0.72</v>
      </c>
      <c r="D20" s="76">
        <f>B16*B17</f>
        <v>0.72</v>
      </c>
    </row>
    <row r="21" spans="1:19" s="76" customFormat="1">
      <c r="A21" s="104" t="s">
        <v>379</v>
      </c>
      <c r="B21" s="76">
        <f>(C16+C17)*2</f>
        <v>3.5999999999999996</v>
      </c>
      <c r="D21" s="76">
        <f>(B16+B17)*2</f>
        <v>3.5999999999999996</v>
      </c>
      <c r="N21" s="76" t="s">
        <v>506</v>
      </c>
      <c r="S21" s="76" t="s">
        <v>535</v>
      </c>
    </row>
    <row r="22" spans="1:19" s="76" customFormat="1">
      <c r="A22" s="104"/>
      <c r="F22" s="89"/>
      <c r="G22" s="194" t="str">
        <f>'Стоимость за кв.м.'!A31</f>
        <v xml:space="preserve">ПОСЛЕПЕЧАТНАЯ ОБРАБОТКА                                                         </v>
      </c>
      <c r="H22" s="76" t="s">
        <v>374</v>
      </c>
      <c r="I22" s="106" t="s">
        <v>375</v>
      </c>
      <c r="J22" s="106" t="s">
        <v>527</v>
      </c>
      <c r="L22" s="104" t="s">
        <v>534</v>
      </c>
      <c r="M22" s="105" t="s">
        <v>373</v>
      </c>
      <c r="N22" s="76" t="str">
        <f>A16</f>
        <v>Длина в м.</v>
      </c>
      <c r="O22" s="76">
        <f>B16</f>
        <v>0.6</v>
      </c>
      <c r="P22" s="76" t="s">
        <v>507</v>
      </c>
      <c r="Q22" s="76">
        <v>0.95</v>
      </c>
      <c r="R22" s="107" t="s">
        <v>536</v>
      </c>
      <c r="S22" s="76" t="s">
        <v>295</v>
      </c>
    </row>
    <row r="23" spans="1:19" s="76" customFormat="1">
      <c r="F23" s="76" t="s">
        <v>533</v>
      </c>
      <c r="G23" s="76" t="str">
        <f>'Стоимость за кв.м.'!A32</f>
        <v>Установка люверсов</v>
      </c>
      <c r="H23" s="76">
        <f>'Стоимость за кв.м.'!B32*I23*M23</f>
        <v>0</v>
      </c>
      <c r="I23" s="76">
        <f>CEILING(K23,2)</f>
        <v>8</v>
      </c>
      <c r="J23" s="76">
        <f>$B$6</f>
        <v>1</v>
      </c>
      <c r="K23" s="76">
        <f>D21/(B18/100)</f>
        <v>7.1999999999999993</v>
      </c>
      <c r="L23" s="76">
        <f>H23*J23</f>
        <v>0</v>
      </c>
      <c r="M23" s="76">
        <f>IF(F23=$S$24,R23,IF(F23=$S$22,1,0))</f>
        <v>0</v>
      </c>
      <c r="N23" s="76" t="str">
        <f>A17</f>
        <v>Ширина в м.</v>
      </c>
      <c r="O23" s="76">
        <f>B17</f>
        <v>1.2</v>
      </c>
      <c r="P23" s="76" t="s">
        <v>283</v>
      </c>
      <c r="Q23" s="76">
        <f>B6</f>
        <v>1</v>
      </c>
      <c r="R23" s="76">
        <f>IF(SUM(J49:J50,J52,J56:J58)&gt;0,1,0)</f>
        <v>0</v>
      </c>
      <c r="S23" s="76" t="s">
        <v>93</v>
      </c>
    </row>
    <row r="24" spans="1:19" s="76" customFormat="1">
      <c r="A24" s="104" t="s">
        <v>316</v>
      </c>
      <c r="B24" s="108">
        <f>C24</f>
        <v>366.48</v>
      </c>
      <c r="C24" s="76">
        <f>IF($A$13=A49,K49,IF($A$13=A50,K50,IF($A$13=A51,K51,IF($A$13=A52,K52,IF($A$13=A53,K53,IF($A$13=A54,K54,IF($A$13=A55,K55,IF($A$13=A56,K56,IF($A$13=A57,K57,IF($A$13=A58,K58,IF($A$13=G59,K59,IF($A$13=G60,K60,0))))))))))))</f>
        <v>366.48</v>
      </c>
      <c r="D24" s="76">
        <f>B24*B1*B6+H30</f>
        <v>4370.4920000000002</v>
      </c>
      <c r="F24" s="76" t="s">
        <v>533</v>
      </c>
      <c r="G24" s="76" t="s">
        <v>539</v>
      </c>
      <c r="H24" s="76">
        <f>'Стоимость за кв.м.'!B33*D21*M24</f>
        <v>0</v>
      </c>
      <c r="J24" s="76">
        <f>$B$6</f>
        <v>1</v>
      </c>
      <c r="K24" s="76">
        <v>360</v>
      </c>
      <c r="L24" s="76">
        <f t="shared" ref="L24:L44" si="0">H24*J24</f>
        <v>0</v>
      </c>
      <c r="M24" s="76">
        <f>IF(F24=$S$24,R24,IF(F24=$S$22,1,0))</f>
        <v>0</v>
      </c>
      <c r="N24" s="76" t="s">
        <v>508</v>
      </c>
      <c r="O24" s="76">
        <f>FLOOR(Q22/O22,1)</f>
        <v>1</v>
      </c>
      <c r="P24" s="76" t="s">
        <v>510</v>
      </c>
      <c r="Q24" s="76">
        <f>IF(0=IF(O22&gt;Q22,1,0)+IF(O23&gt;Q22,1,0),1,0)</f>
        <v>0</v>
      </c>
      <c r="R24" s="76">
        <f>IF(SUM(J49:J50,J52,J56:J58)&gt;0,1,0)</f>
        <v>0</v>
      </c>
      <c r="S24" s="76" t="s">
        <v>533</v>
      </c>
    </row>
    <row r="25" spans="1:19" s="76" customFormat="1">
      <c r="A25" s="104" t="s">
        <v>385</v>
      </c>
      <c r="B25" s="76">
        <v>0</v>
      </c>
      <c r="K25" s="76">
        <v>600</v>
      </c>
      <c r="N25" s="76" t="s">
        <v>509</v>
      </c>
      <c r="O25" s="76">
        <f>FLOOR(Q22/O23,1)</f>
        <v>0</v>
      </c>
      <c r="P25" s="76" t="s">
        <v>516</v>
      </c>
      <c r="Q25" s="76">
        <f>(CEILING(O26/Q26,1)*Q22)+IF(N26="по ширине",O25-1,O24-1)*O26</f>
        <v>1.9</v>
      </c>
      <c r="R25" s="104">
        <v>0</v>
      </c>
    </row>
    <row r="26" spans="1:19" s="76" customFormat="1">
      <c r="A26" s="76" t="s">
        <v>519</v>
      </c>
      <c r="B26" s="76">
        <f>IF(B6=1,0,IF(Q24=1,0,B24*B6-B24))</f>
        <v>0</v>
      </c>
      <c r="F26" s="76" t="s">
        <v>93</v>
      </c>
      <c r="G26" s="76" t="str">
        <f>'Стоимость за кв.м.'!A35</f>
        <v>Точный порез в край полотна</v>
      </c>
      <c r="H26" s="76">
        <f>CEILING('Стоимость за кв.м.'!B35*B21,10)*M26*IF(H28=0,1,0)</f>
        <v>0</v>
      </c>
      <c r="J26" s="76">
        <f>$B$6</f>
        <v>1</v>
      </c>
      <c r="K26" s="76">
        <v>720</v>
      </c>
      <c r="L26" s="76">
        <f>IF(H28=0,H26*J26,0)</f>
        <v>0</v>
      </c>
      <c r="M26" s="76">
        <f>IF(F26=$S$24,R26,IF(F26=$S$22,1,0))</f>
        <v>0</v>
      </c>
      <c r="N26" s="76" t="str">
        <f>IF(O24*O22&gt;O25*O23,"по длине","по ширине")</f>
        <v>по длине</v>
      </c>
      <c r="O26" s="76">
        <f>IF(N26="по ширине",CEILING(Q23/O25,1)*O22,CEILING(Q23/O24*O23,1))</f>
        <v>2</v>
      </c>
      <c r="P26" s="76" t="s">
        <v>517</v>
      </c>
      <c r="Q26" s="76">
        <f>IF(N26="по ширине",O22,O23)</f>
        <v>1.2</v>
      </c>
      <c r="R26" s="76">
        <f>IF(SUM(J49:J50,J52,J56:J58)&gt;0,0,1)</f>
        <v>1</v>
      </c>
    </row>
    <row r="27" spans="1:19" s="76" customFormat="1">
      <c r="F27" s="76" t="s">
        <v>533</v>
      </c>
      <c r="G27" s="76" t="s">
        <v>380</v>
      </c>
      <c r="H27" s="76">
        <f>IF(B34=0,M27*'Стоимость за кв.м.'!B33*B17,0)*R23</f>
        <v>0</v>
      </c>
      <c r="J27" s="76">
        <f>$B$6</f>
        <v>1</v>
      </c>
      <c r="K27" s="76">
        <v>1440</v>
      </c>
      <c r="L27" s="76">
        <f t="shared" si="0"/>
        <v>0</v>
      </c>
      <c r="M27" s="76">
        <f>IF(F27=$S$24,R27,IF(F27=$S$22,1,0))</f>
        <v>0</v>
      </c>
      <c r="P27" s="76" t="s">
        <v>518</v>
      </c>
      <c r="Q27" s="76">
        <f>Q25*'Стоимость за кв.м.'!B36</f>
        <v>333.93335938885622</v>
      </c>
      <c r="R27" s="76">
        <f>IF(SUM(J49:J50,J52,J56:J58)&gt;0,1,0)</f>
        <v>0</v>
      </c>
    </row>
    <row r="28" spans="1:19" s="76" customFormat="1">
      <c r="F28" s="76" t="s">
        <v>533</v>
      </c>
      <c r="G28" s="76" t="s">
        <v>381</v>
      </c>
      <c r="H28" s="76">
        <f>IF(1=Q24,Q27,CEILING('Стоимость за кв.м.'!B35*B21,10)*M26*B6)*M28</f>
        <v>0</v>
      </c>
      <c r="J28" s="76">
        <f>$B$6</f>
        <v>1</v>
      </c>
      <c r="L28" s="76">
        <f>H28</f>
        <v>0</v>
      </c>
      <c r="M28" s="76">
        <f>IF(F28=$S$24,R28,IF(F28=$S$22,1,0))</f>
        <v>0</v>
      </c>
      <c r="P28" s="76" t="s">
        <v>518</v>
      </c>
      <c r="Q28" s="76">
        <f>Q25*'Стоимость за кв.м.'!B35</f>
        <v>66.5</v>
      </c>
      <c r="R28" s="76">
        <f>IF(SUM(J49:J50,J52,J56:J58)&gt;0,0,1)*IF(B6=1,0,1)</f>
        <v>0</v>
      </c>
    </row>
    <row r="29" spans="1:19" s="76" customFormat="1">
      <c r="G29" s="89" t="str">
        <f>'Стоимость за кв.м.'!A38</f>
        <v>Ламинация                                       м2</v>
      </c>
      <c r="H29" s="76">
        <f>'Стоимость за кв.м.'!B38*D20*M29</f>
        <v>0</v>
      </c>
      <c r="J29" s="76">
        <f>$B$6</f>
        <v>1</v>
      </c>
      <c r="L29" s="76">
        <f t="shared" si="0"/>
        <v>0</v>
      </c>
      <c r="M29" s="76">
        <f>IF(B5=$S$24,R29,IF(B5=$S$22,1,0))</f>
        <v>0</v>
      </c>
      <c r="R29" s="76">
        <f>IF(SUM(J49:J50,J52,J56:J58)&gt;0,0,1)</f>
        <v>1</v>
      </c>
    </row>
    <row r="30" spans="1:19" s="76" customFormat="1">
      <c r="G30" s="76" t="s">
        <v>384</v>
      </c>
      <c r="H30" s="108">
        <f>SUM(L23:L29,L36:L44)+SUM(K1:K4)</f>
        <v>4004.0120000000002</v>
      </c>
    </row>
    <row r="31" spans="1:19" s="76" customFormat="1"/>
    <row r="32" spans="1:19" s="76" customFormat="1"/>
    <row r="33" spans="1:13" s="76" customFormat="1">
      <c r="A33" s="76" t="s">
        <v>505</v>
      </c>
      <c r="B33" s="107"/>
      <c r="C33" s="107"/>
      <c r="I33" s="107"/>
    </row>
    <row r="34" spans="1:13" s="76" customFormat="1">
      <c r="A34" s="76" t="s">
        <v>501</v>
      </c>
      <c r="B34" s="76">
        <f>A83</f>
        <v>1.26</v>
      </c>
      <c r="C34" s="107"/>
      <c r="I34" s="107"/>
    </row>
    <row r="35" spans="1:13" s="76" customFormat="1">
      <c r="A35" s="104" t="s">
        <v>503</v>
      </c>
      <c r="B35" s="375" t="str">
        <f>IF(C17&lt;=3.2,"Одним Куском","Внимание Склейка!!!")</f>
        <v>Одним Куском</v>
      </c>
      <c r="C35" s="375"/>
      <c r="G35" s="105" t="s">
        <v>532</v>
      </c>
      <c r="I35" s="107"/>
    </row>
    <row r="36" spans="1:13" s="76" customFormat="1">
      <c r="A36" s="104" t="s">
        <v>504</v>
      </c>
      <c r="B36" s="375" t="str">
        <f>IF(C17&lt;=1.6,"Одним Куском","Внимание Склейка!!!")</f>
        <v>Одним Куском</v>
      </c>
      <c r="C36" s="375"/>
      <c r="F36" s="76" t="str">
        <f>IF($B$4=G36,"да","нет")</f>
        <v>нет</v>
      </c>
      <c r="G36" s="76" t="str">
        <f>CONCATENATE(Себестоимости!B181," ",Себестоимости!E181," ",Себестоимости!F181)</f>
        <v>Пвх-лист белый 1 мм</v>
      </c>
      <c r="H36" s="109">
        <f>IF(Настройки!$U$2=1,IF(F36=$S$22,Себестоимости!G181*D20,0),0)</f>
        <v>0</v>
      </c>
      <c r="I36" s="107"/>
      <c r="J36" s="76">
        <f t="shared" ref="J36:J41" si="1">$B$6*$B$1</f>
        <v>1</v>
      </c>
      <c r="L36" s="76">
        <f t="shared" si="0"/>
        <v>0</v>
      </c>
    </row>
    <row r="37" spans="1:13" s="76" customFormat="1">
      <c r="A37" s="110" t="s">
        <v>511</v>
      </c>
      <c r="B37" s="76">
        <f>B34-0.01-(B87*M24)</f>
        <v>1.25</v>
      </c>
      <c r="C37" s="107"/>
      <c r="F37" s="76" t="str">
        <f>IF($B$4=G37,"да","нет")</f>
        <v>да</v>
      </c>
      <c r="G37" s="76" t="str">
        <f>CONCATENATE(Себестоимости!B182," ",Себестоимости!E182," ",Себестоимости!F182)</f>
        <v>Пвх-лист белый 3 мм</v>
      </c>
      <c r="H37" s="109">
        <f>IF(Настройки!$U$2=1,IF(F37=$S$22,Себестоимости!G182*D20,0),0)</f>
        <v>1104.0120000000002</v>
      </c>
      <c r="I37" s="107"/>
      <c r="J37" s="76">
        <f t="shared" si="1"/>
        <v>1</v>
      </c>
      <c r="L37" s="76">
        <f t="shared" si="0"/>
        <v>1104.0120000000002</v>
      </c>
    </row>
    <row r="38" spans="1:13" s="76" customFormat="1">
      <c r="B38" s="107"/>
      <c r="C38" s="107"/>
      <c r="F38" s="76" t="str">
        <f>IF($B$4=G38,"да","нет")</f>
        <v>нет</v>
      </c>
      <c r="G38" s="76" t="str">
        <f>CONCATENATE(Себестоимости!B183," ",Себестоимости!E183," ",Себестоимости!F183)</f>
        <v>Пвх-лист черный 3 мм</v>
      </c>
      <c r="H38" s="109">
        <f>IF(Настройки!$U$2=1,IF(F38=$S$22,Себестоимости!G183*D20,0),0)</f>
        <v>0</v>
      </c>
      <c r="I38" s="107"/>
      <c r="J38" s="76">
        <f t="shared" si="1"/>
        <v>1</v>
      </c>
      <c r="L38" s="76">
        <f t="shared" si="0"/>
        <v>0</v>
      </c>
    </row>
    <row r="39" spans="1:13" s="76" customFormat="1">
      <c r="B39" s="107"/>
      <c r="C39" s="107"/>
      <c r="F39" s="76" t="str">
        <f>IF($B$4=G39,"да","нет")</f>
        <v>нет</v>
      </c>
      <c r="G39" s="76" t="str">
        <f>CONCATENATE(Себестоимости!B184," ",Себестоимости!E184," ",Себестоимости!F184)</f>
        <v>Пвх-лист белый 5 мм</v>
      </c>
      <c r="H39" s="109">
        <f>IF(Настройки!$U$2=1,IF(F39=$S$22,Себестоимости!G184*D20,0),0)</f>
        <v>0</v>
      </c>
      <c r="I39" s="107"/>
      <c r="J39" s="76">
        <f t="shared" si="1"/>
        <v>1</v>
      </c>
      <c r="L39" s="76">
        <f t="shared" si="0"/>
        <v>0</v>
      </c>
    </row>
    <row r="40" spans="1:13" s="76" customFormat="1">
      <c r="F40" s="76" t="s">
        <v>93</v>
      </c>
      <c r="G40" s="76" t="str">
        <f>'Стоимость за кв.м.'!A34</f>
        <v>Веревка пог/м</v>
      </c>
      <c r="H40" s="76">
        <f>CEILING('Стоимость за кв.м.'!B34*B21*1.8,10)*M40</f>
        <v>0</v>
      </c>
      <c r="J40" s="76">
        <f t="shared" si="1"/>
        <v>1</v>
      </c>
      <c r="L40" s="76">
        <f t="shared" si="0"/>
        <v>0</v>
      </c>
      <c r="M40" s="76">
        <f>IF(F40=$S$24,R25,IF(F40=$S$22,1,0))</f>
        <v>0</v>
      </c>
    </row>
    <row r="41" spans="1:13" s="76" customFormat="1">
      <c r="F41" s="76" t="s">
        <v>295</v>
      </c>
      <c r="G41" s="76" t="s">
        <v>541</v>
      </c>
      <c r="H41" s="76">
        <f>IF(F41=$S$22,'Стоимость за кв.м.'!B51,0)</f>
        <v>900</v>
      </c>
      <c r="I41" s="107"/>
      <c r="J41" s="76">
        <f t="shared" si="1"/>
        <v>1</v>
      </c>
      <c r="L41" s="76">
        <f t="shared" si="0"/>
        <v>900</v>
      </c>
    </row>
    <row r="42" spans="1:13" s="76" customFormat="1">
      <c r="G42" s="76" t="s">
        <v>542</v>
      </c>
      <c r="I42" s="107"/>
      <c r="J42" s="76">
        <f>$B$6</f>
        <v>1</v>
      </c>
      <c r="L42" s="76">
        <f t="shared" si="0"/>
        <v>0</v>
      </c>
    </row>
    <row r="43" spans="1:13" s="76" customFormat="1">
      <c r="G43" s="76" t="s">
        <v>543</v>
      </c>
      <c r="I43" s="107"/>
      <c r="J43" s="76">
        <f>$B$6</f>
        <v>1</v>
      </c>
      <c r="L43" s="76">
        <f t="shared" si="0"/>
        <v>0</v>
      </c>
    </row>
    <row r="44" spans="1:13" s="76" customFormat="1">
      <c r="I44" s="107"/>
      <c r="J44" s="76">
        <f>$B$6</f>
        <v>1</v>
      </c>
      <c r="L44" s="76">
        <f t="shared" si="0"/>
        <v>0</v>
      </c>
    </row>
    <row r="45" spans="1:13" s="76" customFormat="1">
      <c r="B45" s="107"/>
      <c r="C45" s="107"/>
      <c r="H45" s="107"/>
      <c r="I45" s="107"/>
      <c r="J45" s="107"/>
    </row>
    <row r="46" spans="1:13" s="76" customFormat="1">
      <c r="B46" s="107"/>
      <c r="C46" s="107"/>
      <c r="H46" s="107"/>
      <c r="I46" s="107"/>
      <c r="J46" s="107"/>
    </row>
    <row r="47" spans="1:13" s="76" customFormat="1">
      <c r="A47" s="76" t="str">
        <f>'Стоимость за кв.м.'!A1</f>
        <v>ШИРОКОФОРМАТНАЯ  ПЕЧАТЬ 3,2 м</v>
      </c>
      <c r="B47" s="375" t="str">
        <f>'Стоимость за кв.м.'!B1</f>
        <v>Стоимость - %</v>
      </c>
      <c r="C47" s="375"/>
      <c r="D47" s="375" t="s">
        <v>386</v>
      </c>
      <c r="E47" s="375"/>
      <c r="F47" s="375"/>
      <c r="G47" s="76" t="str">
        <f>'Стоимость за кв.м.'!A16</f>
        <v>ИНТЕРЬЕРНАЯ ПЕЧАТЬ до 1,6 м</v>
      </c>
      <c r="H47" s="375" t="s">
        <v>387</v>
      </c>
      <c r="I47" s="375"/>
      <c r="J47" s="107"/>
    </row>
    <row r="48" spans="1:13" s="76" customFormat="1">
      <c r="A48" s="76" t="s">
        <v>388</v>
      </c>
      <c r="B48" s="76" t="str">
        <f>'Стоимость за кв.м.'!B2</f>
        <v>360dpi</v>
      </c>
      <c r="C48" s="76" t="str">
        <f>'Стоимость за кв.м.'!C2</f>
        <v>600dpi</v>
      </c>
      <c r="D48" s="76" t="s">
        <v>389</v>
      </c>
      <c r="F48" s="104" t="s">
        <v>389</v>
      </c>
      <c r="H48" s="76" t="str">
        <f>'Стоимость за кв.м.'!B16</f>
        <v>720dpi</v>
      </c>
      <c r="I48" s="76" t="str">
        <f>'Стоимость за кв.м.'!C16</f>
        <v>1440dpi</v>
      </c>
    </row>
    <row r="49" spans="1:11" s="76" customFormat="1">
      <c r="A49" s="76" t="str">
        <f>'Стоимость за кв.м.'!A3</f>
        <v>Банер 440г/м2 (Китай)</v>
      </c>
      <c r="B49" s="76">
        <f>CEILING('Стоимость за кв.м.'!B3*C20,5)</f>
        <v>210</v>
      </c>
      <c r="C49" s="76">
        <f>CEILING('Стоимость за кв.м.'!C3*C20,10)</f>
        <v>250</v>
      </c>
      <c r="D49" s="76">
        <f>($B$34-$C$17)*$C$16*'Размеры и перерасход'!K4</f>
        <v>3.6000000000000032</v>
      </c>
      <c r="E49" s="76">
        <v>3.2</v>
      </c>
      <c r="F49" s="76">
        <f>($B$34-$C$17)*$C$16*'Размеры и перерасход'!K4</f>
        <v>3.6000000000000032</v>
      </c>
      <c r="G49" s="76" t="str">
        <f>'Стоимость за кв.м.'!A21</f>
        <v>Банер 440г/м2(Китай)</v>
      </c>
      <c r="H49" s="76">
        <f>CEILING('Стоимость за кв.м.'!B21*C20,10)</f>
        <v>410</v>
      </c>
      <c r="I49" s="76">
        <f>CEILING('Стоимость за кв.м.'!C21*C20,10)</f>
        <v>500</v>
      </c>
      <c r="J49" s="76">
        <f>IF(A49=$A$13,1,0)</f>
        <v>0</v>
      </c>
      <c r="K49" s="76">
        <f t="shared" ref="K49:K60" si="2">IF($B$2=360,B49+D49,IF($B$2=600,C49+D49,IF($B$2=720,H49+F49,IF($B$2=1440,I49+F49,0))))</f>
        <v>413.6</v>
      </c>
    </row>
    <row r="50" spans="1:11" s="76" customFormat="1">
      <c r="A50" s="76" t="str">
        <f>'Стоимость за кв.м.'!A5</f>
        <v>Банер 520г/м2 (Европа)</v>
      </c>
      <c r="B50" s="76">
        <f>CEILING('Стоимость за кв.м.'!B5*C20,10)</f>
        <v>280</v>
      </c>
      <c r="C50" s="76">
        <f>CEILING('Стоимость за кв.м.'!C5*C20,10)</f>
        <v>310</v>
      </c>
      <c r="D50" s="76">
        <f>($B$34-$C$17)*$C$16*'Размеры и перерасход'!K5</f>
        <v>5.0400000000000045</v>
      </c>
      <c r="E50" s="76">
        <v>3.2</v>
      </c>
      <c r="F50" s="76">
        <f>($B$34-$C$17)*$C$16*'Размеры и перерасход'!K5</f>
        <v>5.0400000000000045</v>
      </c>
      <c r="G50" s="76" t="str">
        <f>'Стоимость за кв.м.'!A22</f>
        <v>Банер 510г/м2(Европа)</v>
      </c>
      <c r="H50" s="76">
        <f>CEILING('Стоимость за кв.м.'!B22*C20,10)</f>
        <v>490</v>
      </c>
      <c r="I50" s="76">
        <f>CEILING('Стоимость за кв.м.'!C22*C20,10)</f>
        <v>580</v>
      </c>
      <c r="J50" s="76">
        <f>IF(A50=$A$13,2,0)</f>
        <v>0</v>
      </c>
      <c r="K50" s="76">
        <f t="shared" si="2"/>
        <v>495.04</v>
      </c>
    </row>
    <row r="51" spans="1:11" s="76" customFormat="1">
      <c r="A51" s="76" t="str">
        <f>'Стоимость за кв.м.'!A6</f>
        <v>Бумага на синей подложке (blueback)</v>
      </c>
      <c r="B51" s="76">
        <f>CEILING('Стоимость за кв.м.'!B6*C20,10)</f>
        <v>110</v>
      </c>
      <c r="C51" s="76">
        <f>CEILING('Стоимость за кв.м.'!C6*C20,10)</f>
        <v>150</v>
      </c>
      <c r="D51" s="76">
        <f>($B$34-$C$17)*$C$16*'Размеры и перерасход'!K14</f>
        <v>1.6200000000000014</v>
      </c>
      <c r="E51" s="76">
        <v>1.6</v>
      </c>
      <c r="F51" s="76">
        <f>($B$34-$C$17)*$C$16*'Размеры и перерасход'!K14</f>
        <v>1.6200000000000014</v>
      </c>
      <c r="J51" s="76">
        <f>IF(A51=$A$13,3,0)</f>
        <v>0</v>
      </c>
      <c r="K51" s="76">
        <f t="shared" si="2"/>
        <v>1.6200000000000014</v>
      </c>
    </row>
    <row r="52" spans="1:11" s="76" customFormat="1">
      <c r="A52" s="76" t="str">
        <f>'Стоимость за кв.м.'!A9</f>
        <v>Банерная сетка 370г/м2</v>
      </c>
      <c r="B52" s="76">
        <f>CEILING('Стоимость за кв.м.'!B9*C20,10)</f>
        <v>270</v>
      </c>
      <c r="C52" s="76">
        <f>CEILING('Стоимость за кв.м.'!C9*C20,10)</f>
        <v>310</v>
      </c>
      <c r="D52" s="76">
        <f>($B$34-$C$17)*$C$16*'Размеры и перерасход'!K15</f>
        <v>6.4800000000000058</v>
      </c>
      <c r="E52" s="76">
        <v>3.2</v>
      </c>
      <c r="F52" s="76">
        <f>($B$34-$C$17)*$C$16*'Размеры и перерасход'!K15</f>
        <v>6.4800000000000058</v>
      </c>
      <c r="G52" s="76" t="s">
        <v>390</v>
      </c>
      <c r="H52" s="76">
        <f>CEILING('Стоимость за кв.м.'!B17*C20,10)</f>
        <v>130</v>
      </c>
      <c r="I52" s="76">
        <f>CEILING('Стоимость за кв.м.'!C17*C20,10)</f>
        <v>130</v>
      </c>
      <c r="J52" s="76">
        <f>IF(A52=$A$13,4,0)</f>
        <v>0</v>
      </c>
      <c r="K52" s="76">
        <f t="shared" si="2"/>
        <v>136.48000000000002</v>
      </c>
    </row>
    <row r="53" spans="1:11" s="76" customFormat="1">
      <c r="A53" s="76" t="str">
        <f>'Стоимость за кв.м.'!A10</f>
        <v>Самоклеющаяся пленка (матовая глянцевая прозрачная)</v>
      </c>
      <c r="B53" s="76">
        <f>CEILING('Стоимость за кв.м.'!B10*C20,10)</f>
        <v>260</v>
      </c>
      <c r="C53" s="76">
        <f>CEILING('Стоимость за кв.м.'!C10*C20,10)</f>
        <v>290</v>
      </c>
      <c r="D53" s="76">
        <f>($B$34-$C$17)*$C$16*'Размеры и перерасход'!K8</f>
        <v>6.4800000000000058</v>
      </c>
      <c r="E53" s="76">
        <v>1.6</v>
      </c>
      <c r="F53" s="76">
        <f>($B$34-$C$17)*$C$16*'Размеры и перерасход'!K8</f>
        <v>6.4800000000000058</v>
      </c>
      <c r="G53" s="76" t="str">
        <f>'Стоимость за кв.м.'!A18</f>
        <v>Самоклеющаяся пленка (матовая глянцевая прозрачная)</v>
      </c>
      <c r="H53" s="76">
        <f>CEILING('Стоимость за кв.м.'!B18*C20,10)</f>
        <v>360</v>
      </c>
      <c r="I53" s="76">
        <f>CEILING('Стоимость за кв.м.'!C18*C20,10)</f>
        <v>480</v>
      </c>
      <c r="J53" s="76">
        <f>IF(A53=$A$13,5,0)</f>
        <v>5</v>
      </c>
      <c r="K53" s="76">
        <f t="shared" si="2"/>
        <v>366.48</v>
      </c>
    </row>
    <row r="54" spans="1:11" s="76" customFormat="1">
      <c r="A54" s="76" t="str">
        <f>'Стоимость за кв.м.'!A11</f>
        <v>Самоклеющаяся пленка для  авто  Avery 2000</v>
      </c>
      <c r="B54" s="76">
        <f>CEILING('Стоимость за кв.м.'!B11*C20,10)</f>
        <v>130</v>
      </c>
      <c r="C54" s="76">
        <f>CEILING('Стоимость за кв.м.'!C11*C20,10)</f>
        <v>130</v>
      </c>
      <c r="D54" s="76">
        <f>($B$34-$C$17)*$C$16*'Размеры и перерасход'!K10</f>
        <v>14.400000000000013</v>
      </c>
      <c r="E54" s="76">
        <v>1.37</v>
      </c>
      <c r="F54" s="76">
        <f>($B$34-$C$17)*$C$16*'Размеры и перерасход'!K10</f>
        <v>14.400000000000013</v>
      </c>
      <c r="G54" s="76" t="str">
        <f>'Стоимость за кв.м.'!A19</f>
        <v>Самоклеющаяся пленка для  авто Avery 2000</v>
      </c>
      <c r="H54" s="76">
        <f>CEILING('Стоимость за кв.м.'!B19*C20,10)</f>
        <v>730</v>
      </c>
      <c r="I54" s="76">
        <f>CEILING('Стоимость за кв.м.'!C19*C20,10)</f>
        <v>820</v>
      </c>
      <c r="J54" s="76">
        <f>IF(A54=$A$13,6,0)</f>
        <v>0</v>
      </c>
      <c r="K54" s="76">
        <f t="shared" si="2"/>
        <v>744.4</v>
      </c>
    </row>
    <row r="55" spans="1:11" s="76" customFormat="1">
      <c r="A55" s="76" t="str">
        <f>'Стоимость за кв.м.'!A12</f>
        <v>Самоклеющаяся пленка (транслюцентная)</v>
      </c>
      <c r="B55" s="76">
        <f>CEILING('Стоимость за кв.м.'!B12*C20,10)</f>
        <v>540</v>
      </c>
      <c r="C55" s="76">
        <f>CEILING('Стоимость за кв.м.'!C12*C20,10)</f>
        <v>540</v>
      </c>
      <c r="D55" s="76">
        <f>($B$34-$C$17)*$C$16*'Размеры и перерасход'!K9</f>
        <v>14.400000000000013</v>
      </c>
      <c r="E55" s="76">
        <v>1.37</v>
      </c>
      <c r="F55" s="76">
        <f>($B$34-$C$17)*$C$16*'Размеры и перерасход'!K9</f>
        <v>14.400000000000013</v>
      </c>
      <c r="G55" s="76" t="str">
        <f>'Стоимость за кв.м.'!A20</f>
        <v>Самоклеющаяся пленка (транслюцентная)</v>
      </c>
      <c r="H55" s="76">
        <f>CEILING('Стоимость за кв.м.'!B20*C20,10)</f>
        <v>540</v>
      </c>
      <c r="I55" s="76">
        <f>CEILING('Стоимость за кв.м.'!C20*C20,10)</f>
        <v>630</v>
      </c>
      <c r="J55" s="76">
        <f>IF(A55=$A$13,7,0)</f>
        <v>0</v>
      </c>
      <c r="K55" s="76">
        <f t="shared" si="2"/>
        <v>554.4</v>
      </c>
    </row>
    <row r="56" spans="1:11" s="76" customFormat="1">
      <c r="A56" s="76" t="str">
        <f>'Стоимость за кв.м.'!A13</f>
        <v>Банер транслюцентный 440г/м2</v>
      </c>
      <c r="B56" s="76">
        <f>CEILING('Стоимость за кв.м.'!B13*C20,10)</f>
        <v>390</v>
      </c>
      <c r="C56" s="76">
        <f>CEILING('Стоимость за кв.м.'!C13*C20,10)</f>
        <v>430</v>
      </c>
      <c r="D56" s="76">
        <f>($B$34-$C$17)*$C$16*'Размеры и перерасход'!K6</f>
        <v>7.5600000000000067</v>
      </c>
      <c r="E56" s="76">
        <v>3.2</v>
      </c>
      <c r="F56" s="76">
        <f>($B$34-$C$17)*$C$16*'Размеры и перерасход'!K6</f>
        <v>7.5600000000000067</v>
      </c>
      <c r="G56" s="76" t="str">
        <f>'Стоимость за кв.м.'!A26</f>
        <v>Банер транслюцентный 440г/м2</v>
      </c>
      <c r="H56" s="76">
        <f>CEILING('Стоимость за кв.м.'!B26*C20,10)</f>
        <v>660</v>
      </c>
      <c r="I56" s="76">
        <f>CEILING('Стоимость за кв.м.'!C26*C20,10)</f>
        <v>750</v>
      </c>
      <c r="J56" s="76">
        <f>IF(A56=$A$13,8,0)</f>
        <v>0</v>
      </c>
      <c r="K56" s="76">
        <f t="shared" si="2"/>
        <v>667.56000000000006</v>
      </c>
    </row>
    <row r="57" spans="1:11" s="76" customFormat="1">
      <c r="A57" s="76" t="str">
        <f>'Стоимость за кв.м.'!A14</f>
        <v>Банер Blockout светоблокирующий односторонняя печать</v>
      </c>
      <c r="B57" s="76">
        <f>CEILING('Стоимость за кв.м.'!B14*C20,10)</f>
        <v>130</v>
      </c>
      <c r="C57" s="76">
        <f>CEILING('Стоимость за кв.м.'!C14*C20,10)</f>
        <v>130</v>
      </c>
      <c r="D57" s="76">
        <f>($B$34-$C$17)*$C$16*'Размеры и перерасход'!K7</f>
        <v>4.3200000000000038</v>
      </c>
      <c r="F57" s="76">
        <f>($B$34-$C$17)*$C$16*'Размеры и перерасход'!K7</f>
        <v>4.3200000000000038</v>
      </c>
      <c r="G57" s="76" t="str">
        <f>'Стоимость за кв.м.'!A28</f>
        <v xml:space="preserve">Банер Blockout светоблокирующий односторонняя печать                                               </v>
      </c>
      <c r="H57" s="76">
        <f>CEILING('Стоимость за кв.м.'!B28*C20,10)</f>
        <v>130</v>
      </c>
      <c r="I57" s="76">
        <f>CEILING('Стоимость за кв.м.'!C28*C20,10)</f>
        <v>130</v>
      </c>
      <c r="J57" s="76">
        <f>IF(A57=$A$13,9,0)</f>
        <v>0</v>
      </c>
      <c r="K57" s="76">
        <f t="shared" si="2"/>
        <v>134.32</v>
      </c>
    </row>
    <row r="58" spans="1:11" s="76" customFormat="1">
      <c r="A58" s="76" t="str">
        <f>G58</f>
        <v>Банер Blockout светоблокирующий двусторонняя печать</v>
      </c>
      <c r="B58" s="76">
        <f>CEILING('Стоимость за кв.м.'!B15*C20,10)</f>
        <v>130</v>
      </c>
      <c r="C58" s="76">
        <f>CEILING('Стоимость за кв.м.'!C15*C20,10)</f>
        <v>130</v>
      </c>
      <c r="D58" s="76">
        <f>($B$34-$C$17)*$C$16*'Размеры и перерасход'!K8</f>
        <v>6.4800000000000058</v>
      </c>
      <c r="F58" s="76">
        <f>($B$34-$C$17)*$C$16*'Размеры и перерасход'!K8</f>
        <v>6.4800000000000058</v>
      </c>
      <c r="G58" s="76" t="str">
        <f>'Стоимость за кв.м.'!A29</f>
        <v>Банер Blockout светоблокирующий двусторонняя печать</v>
      </c>
      <c r="H58" s="76">
        <f>CEILING('Стоимость за кв.м.'!B29*C20,10)</f>
        <v>130</v>
      </c>
      <c r="I58" s="76">
        <f>CEILING('Стоимость за кв.м.'!C29*C20,10)</f>
        <v>130</v>
      </c>
      <c r="J58" s="76">
        <f>IF(A58=$A$13,10,0)</f>
        <v>0</v>
      </c>
      <c r="K58" s="76">
        <f t="shared" si="2"/>
        <v>136.48000000000002</v>
      </c>
    </row>
    <row r="59" spans="1:11" s="76" customFormat="1" ht="15" customHeight="1">
      <c r="A59" s="76" t="str">
        <f>G59</f>
        <v>Постерная бумага 150г/м2</v>
      </c>
      <c r="B59" s="76" t="s">
        <v>93</v>
      </c>
      <c r="C59" s="76" t="s">
        <v>93</v>
      </c>
      <c r="E59" s="76">
        <v>1.6</v>
      </c>
      <c r="F59" s="76">
        <f>($B$34-$C$17)*$C$16*'Размеры и перерасход'!K12</f>
        <v>1.8000000000000016</v>
      </c>
      <c r="G59" s="76" t="str">
        <f>'Стоимость за кв.м.'!A23</f>
        <v>Постерная бумага 150г/м2</v>
      </c>
      <c r="H59" s="76">
        <f>CEILING('Стоимость за кв.м.'!B23*C20,10)</f>
        <v>310</v>
      </c>
      <c r="I59" s="76">
        <f>CEILING('Стоимость за кв.м.'!C23*C20,10)</f>
        <v>400</v>
      </c>
      <c r="J59" s="76">
        <f>IF(A59=$A$13,11,0)</f>
        <v>0</v>
      </c>
      <c r="K59" s="76">
        <f t="shared" si="2"/>
        <v>311.8</v>
      </c>
    </row>
    <row r="60" spans="1:11" s="76" customFormat="1">
      <c r="A60" s="76" t="str">
        <f>G60</f>
        <v>Фото бумага 200г/м2</v>
      </c>
      <c r="B60" s="76" t="s">
        <v>93</v>
      </c>
      <c r="C60" s="76" t="s">
        <v>93</v>
      </c>
      <c r="E60" s="76">
        <v>1.6</v>
      </c>
      <c r="F60" s="76">
        <f>($B$34-$C$17)*$C$16*'Размеры и перерасход'!K13</f>
        <v>7.2000000000000064</v>
      </c>
      <c r="G60" s="76" t="str">
        <f>'Стоимость за кв.м.'!A24</f>
        <v>Фото бумага 200г/м2</v>
      </c>
      <c r="H60" s="76">
        <f>CEILING('Стоимость за кв.м.'!B24*C20,10)</f>
        <v>580</v>
      </c>
      <c r="I60" s="76">
        <f>CEILING('Стоимость за кв.м.'!C24*C20,10)</f>
        <v>670</v>
      </c>
      <c r="J60" s="76">
        <f>IF(A60=$A$13,12,0)</f>
        <v>0</v>
      </c>
      <c r="K60" s="76">
        <f t="shared" si="2"/>
        <v>587.20000000000005</v>
      </c>
    </row>
    <row r="61" spans="1:11" s="76" customFormat="1" ht="17.25" customHeight="1">
      <c r="A61" s="76" t="str">
        <f>'Стоимость за кв.м.'!A39</f>
        <v>Печать и прикатка на пластик, ПВХ 3 мм</v>
      </c>
      <c r="B61" s="76">
        <f>CEILING('Стоимость за кв.м.'!B39*$B$20,10)</f>
        <v>170</v>
      </c>
      <c r="C61" s="373" t="s">
        <v>391</v>
      </c>
      <c r="D61" s="373"/>
      <c r="E61" s="111"/>
    </row>
    <row r="62" spans="1:11" s="76" customFormat="1">
      <c r="A62" s="76" t="str">
        <f>'Стоимость за кв.м.'!A40</f>
        <v>Печать и прикатка на пластик, ПВХ 5 мм.</v>
      </c>
      <c r="B62" s="76">
        <f>CEILING('Стоимость за кв.м.'!B40*$B$20,10)</f>
        <v>170</v>
      </c>
      <c r="C62" s="373"/>
      <c r="D62" s="373"/>
    </row>
    <row r="63" spans="1:11" s="76" customFormat="1" ht="15" customHeight="1">
      <c r="A63" s="76" t="str">
        <f>'Стоимость за кв.м.'!A41</f>
        <v>Печать и прикатка на оцинкованный метал. Лист</v>
      </c>
      <c r="B63" s="76">
        <f>CEILING('Стоимость за кв.м.'!B41*$B$20,10)</f>
        <v>170</v>
      </c>
      <c r="C63" s="373"/>
      <c r="D63" s="373"/>
    </row>
    <row r="64" spans="1:11" s="76" customFormat="1">
      <c r="A64" s="76" t="s">
        <v>392</v>
      </c>
    </row>
    <row r="65" spans="1:13" s="76" customFormat="1"/>
    <row r="66" spans="1:13" s="76" customFormat="1">
      <c r="A66" s="374" t="s">
        <v>393</v>
      </c>
      <c r="B66" s="375"/>
      <c r="C66" s="375"/>
      <c r="D66" s="375"/>
      <c r="E66" s="375"/>
      <c r="F66" s="375"/>
      <c r="G66" s="375"/>
      <c r="H66" s="375"/>
      <c r="I66" s="375"/>
      <c r="J66" s="375"/>
      <c r="K66" s="375"/>
      <c r="L66" s="375"/>
      <c r="M66" s="375"/>
    </row>
    <row r="67" spans="1:13" s="76" customFormat="1" ht="15.75" thickBot="1">
      <c r="A67" s="375"/>
      <c r="B67" s="375"/>
      <c r="C67" s="375"/>
      <c r="D67" s="375"/>
      <c r="E67" s="375"/>
      <c r="F67" s="375"/>
      <c r="G67" s="375"/>
      <c r="H67" s="375"/>
      <c r="I67" s="375"/>
      <c r="J67" s="375"/>
      <c r="K67" s="375"/>
      <c r="L67" s="375"/>
      <c r="M67" s="375"/>
    </row>
    <row r="68" spans="1:13" s="76" customFormat="1" ht="21.75" thickBot="1">
      <c r="A68" s="112" t="s">
        <v>394</v>
      </c>
      <c r="B68" s="113">
        <v>1</v>
      </c>
      <c r="C68" s="113">
        <v>1.26</v>
      </c>
      <c r="D68" s="113">
        <v>1.37</v>
      </c>
      <c r="E68" s="113">
        <v>1.4</v>
      </c>
      <c r="F68" s="113">
        <v>1.52</v>
      </c>
      <c r="G68" s="113">
        <v>1.6</v>
      </c>
      <c r="H68" s="113">
        <v>2.2000000000000002</v>
      </c>
      <c r="I68" s="113">
        <v>2.5</v>
      </c>
      <c r="J68" s="114">
        <v>3.2</v>
      </c>
      <c r="K68" s="76" t="s">
        <v>395</v>
      </c>
    </row>
    <row r="69" spans="1:13" s="76" customFormat="1" ht="15.75" thickBot="1">
      <c r="A69" s="104" t="str">
        <f>A49</f>
        <v>Банер 440г/м2 (Китай)</v>
      </c>
      <c r="B69" s="115">
        <v>0</v>
      </c>
      <c r="C69" s="115">
        <v>0</v>
      </c>
      <c r="D69" s="116">
        <v>1</v>
      </c>
      <c r="E69" s="115">
        <v>0</v>
      </c>
      <c r="F69" s="115">
        <v>0</v>
      </c>
      <c r="G69" s="116">
        <v>1</v>
      </c>
      <c r="H69" s="116">
        <v>1</v>
      </c>
      <c r="I69" s="116">
        <v>1</v>
      </c>
      <c r="J69" s="117">
        <v>1</v>
      </c>
      <c r="K69" s="118">
        <v>60</v>
      </c>
    </row>
    <row r="70" spans="1:13" s="76" customFormat="1">
      <c r="A70" s="104" t="str">
        <f t="shared" ref="A70:A80" si="3">A50</f>
        <v>Банер 520г/м2 (Европа)</v>
      </c>
      <c r="B70" s="115">
        <v>0</v>
      </c>
      <c r="C70" s="115">
        <v>0</v>
      </c>
      <c r="D70" s="116">
        <v>1</v>
      </c>
      <c r="E70" s="115">
        <v>0</v>
      </c>
      <c r="F70" s="115">
        <v>0</v>
      </c>
      <c r="G70" s="116">
        <v>1</v>
      </c>
      <c r="H70" s="116">
        <v>1</v>
      </c>
      <c r="I70" s="116">
        <v>1</v>
      </c>
      <c r="J70" s="117">
        <v>1</v>
      </c>
      <c r="K70" s="118">
        <v>80</v>
      </c>
    </row>
    <row r="71" spans="1:13" s="76" customFormat="1" ht="15.75" thickBot="1">
      <c r="A71" s="104" t="str">
        <f t="shared" si="3"/>
        <v>Бумага на синей подложке (blueback)</v>
      </c>
      <c r="B71" s="119">
        <v>0</v>
      </c>
      <c r="C71" s="119">
        <v>0</v>
      </c>
      <c r="D71" s="119">
        <v>0</v>
      </c>
      <c r="E71" s="119">
        <v>0</v>
      </c>
      <c r="F71" s="119">
        <v>0</v>
      </c>
      <c r="G71" s="120">
        <v>1</v>
      </c>
      <c r="H71" s="119">
        <v>0</v>
      </c>
      <c r="I71" s="119">
        <v>0</v>
      </c>
      <c r="J71" s="121">
        <v>0</v>
      </c>
      <c r="K71" s="122">
        <v>25</v>
      </c>
    </row>
    <row r="72" spans="1:13" s="76" customFormat="1" ht="15.75" thickBot="1">
      <c r="A72" s="104" t="str">
        <f t="shared" si="3"/>
        <v>Банерная сетка 370г/м2</v>
      </c>
      <c r="B72" s="119">
        <v>0</v>
      </c>
      <c r="C72" s="119">
        <v>0</v>
      </c>
      <c r="D72" s="119">
        <v>0</v>
      </c>
      <c r="E72" s="119">
        <v>0</v>
      </c>
      <c r="F72" s="119">
        <v>0</v>
      </c>
      <c r="G72" s="120">
        <v>0</v>
      </c>
      <c r="H72" s="119">
        <v>0</v>
      </c>
      <c r="I72" s="119">
        <v>0</v>
      </c>
      <c r="J72" s="121">
        <v>1</v>
      </c>
      <c r="K72" s="122">
        <v>90</v>
      </c>
    </row>
    <row r="73" spans="1:13" s="76" customFormat="1">
      <c r="A73" s="104" t="str">
        <f t="shared" si="3"/>
        <v>Самоклеющаяся пленка (матовая глянцевая прозрачная)</v>
      </c>
      <c r="B73" s="123">
        <v>1</v>
      </c>
      <c r="C73" s="123">
        <v>1</v>
      </c>
      <c r="D73" s="123">
        <v>1</v>
      </c>
      <c r="E73" s="124">
        <v>0</v>
      </c>
      <c r="F73" s="123">
        <v>1</v>
      </c>
      <c r="G73" s="123">
        <v>1</v>
      </c>
      <c r="H73" s="123">
        <v>0</v>
      </c>
      <c r="I73" s="124">
        <v>0</v>
      </c>
      <c r="J73" s="125">
        <v>0</v>
      </c>
      <c r="K73" s="122">
        <v>80</v>
      </c>
    </row>
    <row r="74" spans="1:13" s="76" customFormat="1">
      <c r="A74" s="104" t="str">
        <f t="shared" si="3"/>
        <v>Самоклеющаяся пленка для  авто  Avery 2000</v>
      </c>
      <c r="B74" s="124">
        <v>0</v>
      </c>
      <c r="C74" s="124">
        <v>0</v>
      </c>
      <c r="D74" s="123">
        <v>1</v>
      </c>
      <c r="E74" s="124">
        <v>0</v>
      </c>
      <c r="F74" s="124">
        <v>0</v>
      </c>
      <c r="G74" s="124">
        <v>0</v>
      </c>
      <c r="H74" s="124">
        <v>0</v>
      </c>
      <c r="I74" s="124">
        <v>0</v>
      </c>
      <c r="J74" s="125">
        <v>0</v>
      </c>
      <c r="K74" s="122">
        <v>220</v>
      </c>
    </row>
    <row r="75" spans="1:13" s="76" customFormat="1">
      <c r="A75" s="104" t="str">
        <f t="shared" si="3"/>
        <v>Самоклеющаяся пленка (транслюцентная)</v>
      </c>
      <c r="B75" s="124">
        <v>0</v>
      </c>
      <c r="C75" s="124">
        <v>0</v>
      </c>
      <c r="D75" s="123">
        <v>1</v>
      </c>
      <c r="E75" s="124">
        <v>0</v>
      </c>
      <c r="F75" s="124">
        <v>0</v>
      </c>
      <c r="G75" s="124" t="s">
        <v>398</v>
      </c>
      <c r="H75" s="124">
        <v>0</v>
      </c>
      <c r="I75" s="124">
        <v>0</v>
      </c>
      <c r="J75" s="125">
        <v>0</v>
      </c>
      <c r="K75" s="122">
        <v>220</v>
      </c>
    </row>
    <row r="76" spans="1:13" s="76" customFormat="1">
      <c r="A76" s="104" t="str">
        <f t="shared" si="3"/>
        <v>Банер транслюцентный 440г/м2</v>
      </c>
      <c r="B76" s="124">
        <v>0</v>
      </c>
      <c r="C76" s="124">
        <v>0</v>
      </c>
      <c r="D76" s="123">
        <v>0</v>
      </c>
      <c r="E76" s="124">
        <v>0</v>
      </c>
      <c r="F76" s="124">
        <v>0</v>
      </c>
      <c r="G76" s="124" t="s">
        <v>398</v>
      </c>
      <c r="H76" s="124">
        <v>0</v>
      </c>
      <c r="I76" s="124">
        <v>0</v>
      </c>
      <c r="J76" s="125">
        <v>0</v>
      </c>
      <c r="K76" s="122">
        <v>140</v>
      </c>
    </row>
    <row r="77" spans="1:13" s="76" customFormat="1">
      <c r="A77" s="104" t="str">
        <f t="shared" si="3"/>
        <v>Банер Blockout светоблокирующий односторонняя печать</v>
      </c>
      <c r="B77" s="124">
        <v>0</v>
      </c>
      <c r="C77" s="124">
        <v>0</v>
      </c>
      <c r="D77" s="123">
        <v>0</v>
      </c>
      <c r="E77" s="124">
        <v>0</v>
      </c>
      <c r="F77" s="124">
        <v>0</v>
      </c>
      <c r="G77" s="124" t="s">
        <v>398</v>
      </c>
      <c r="H77" s="124">
        <v>0</v>
      </c>
      <c r="I77" s="124">
        <v>0</v>
      </c>
      <c r="J77" s="124" t="s">
        <v>398</v>
      </c>
      <c r="K77" s="122">
        <v>80</v>
      </c>
    </row>
    <row r="78" spans="1:13" s="76" customFormat="1">
      <c r="A78" s="104" t="str">
        <f t="shared" si="3"/>
        <v>Банер Blockout светоблокирующий двусторонняя печать</v>
      </c>
      <c r="B78" s="124">
        <v>0</v>
      </c>
      <c r="C78" s="124">
        <v>0</v>
      </c>
      <c r="D78" s="123">
        <v>0</v>
      </c>
      <c r="E78" s="124">
        <v>0</v>
      </c>
      <c r="F78" s="124">
        <v>0</v>
      </c>
      <c r="G78" s="124" t="s">
        <v>398</v>
      </c>
      <c r="H78" s="124">
        <v>0</v>
      </c>
      <c r="I78" s="124">
        <v>0</v>
      </c>
      <c r="J78" s="124" t="s">
        <v>398</v>
      </c>
      <c r="K78" s="126">
        <v>80</v>
      </c>
    </row>
    <row r="79" spans="1:13" s="76" customFormat="1">
      <c r="A79" s="104" t="str">
        <f>A59</f>
        <v>Постерная бумага 150г/м2</v>
      </c>
      <c r="B79" s="124">
        <v>0</v>
      </c>
      <c r="C79" s="123">
        <v>1</v>
      </c>
      <c r="D79" s="124">
        <v>0</v>
      </c>
      <c r="E79" s="123">
        <v>1</v>
      </c>
      <c r="F79" s="124">
        <v>0</v>
      </c>
      <c r="G79" s="123">
        <v>1</v>
      </c>
      <c r="H79" s="124">
        <v>0</v>
      </c>
      <c r="I79" s="124">
        <v>0</v>
      </c>
      <c r="J79" s="125">
        <v>0</v>
      </c>
      <c r="K79" s="126">
        <v>50</v>
      </c>
    </row>
    <row r="80" spans="1:13" s="76" customFormat="1">
      <c r="A80" s="104" t="str">
        <f t="shared" si="3"/>
        <v>Фото бумага 200г/м2</v>
      </c>
      <c r="B80" s="124">
        <v>0</v>
      </c>
      <c r="C80" s="124">
        <v>0</v>
      </c>
      <c r="D80" s="123">
        <v>1</v>
      </c>
      <c r="E80" s="124">
        <v>0</v>
      </c>
      <c r="F80" s="124">
        <v>0</v>
      </c>
      <c r="G80" s="123">
        <v>1</v>
      </c>
      <c r="H80" s="124">
        <v>0</v>
      </c>
      <c r="I80" s="124">
        <v>0</v>
      </c>
      <c r="J80" s="125">
        <v>0</v>
      </c>
      <c r="K80" s="126">
        <v>200</v>
      </c>
    </row>
    <row r="81" spans="1:11" s="76" customFormat="1">
      <c r="A81" s="76" t="str">
        <f>A13</f>
        <v>Самоклеющаяся пленка (матовая глянцевая прозрачная)</v>
      </c>
      <c r="B81" s="76">
        <f t="shared" ref="B81:J81" si="4">IF($C$17+$B$86+$B$87*$M$24&gt;B68,0,B68)</f>
        <v>0</v>
      </c>
      <c r="C81" s="76">
        <f t="shared" si="4"/>
        <v>1.26</v>
      </c>
      <c r="D81" s="76">
        <f t="shared" si="4"/>
        <v>1.37</v>
      </c>
      <c r="E81" s="76">
        <f t="shared" si="4"/>
        <v>1.4</v>
      </c>
      <c r="F81" s="76">
        <f t="shared" si="4"/>
        <v>1.52</v>
      </c>
      <c r="G81" s="76">
        <f t="shared" si="4"/>
        <v>1.6</v>
      </c>
      <c r="H81" s="76">
        <f t="shared" si="4"/>
        <v>2.2000000000000002</v>
      </c>
      <c r="I81" s="76">
        <f t="shared" si="4"/>
        <v>2.5</v>
      </c>
      <c r="J81" s="76">
        <f t="shared" si="4"/>
        <v>3.2</v>
      </c>
    </row>
    <row r="82" spans="1:11" s="76" customFormat="1">
      <c r="A82" s="76" t="s">
        <v>502</v>
      </c>
      <c r="B82" s="76">
        <f>IF($A$81=$A$69,B69,IF($A$81=$A$70,B70,IF($A$81=$A$71,B71,IF($A$81=$A$72,B72,IF($A$81=$A$73,B73,IF($A$81=$A$74,B74,IF($A$81=$A$75,B75,IF($A$81=$A$76,B76,IF($A$81=$A$77,B77,IF($A$81=$A$78,B78,IF($A$81=$A$79,B79,B80)))))))))))</f>
        <v>1</v>
      </c>
      <c r="C82" s="76">
        <f t="shared" ref="C82:K82" si="5">IF($A$81=$A$69,C69,IF($A$81=$A$70,C70,IF($A$81=$A$71,C71,IF($A$81=$A$72,C72,IF($A$81=$A$73,C73,IF($A$81=$A$74,C74,IF($A$81=$A$75,C75,IF($A$81=$A$76,C76,IF($A$81=$A$77,C77,IF($A$81=$A$78,C78,IF($A$81=$A$79,C79,C80)))))))))))</f>
        <v>1</v>
      </c>
      <c r="D82" s="76">
        <f t="shared" si="5"/>
        <v>1</v>
      </c>
      <c r="E82" s="76">
        <f t="shared" si="5"/>
        <v>0</v>
      </c>
      <c r="F82" s="76">
        <f t="shared" si="5"/>
        <v>1</v>
      </c>
      <c r="G82" s="76">
        <f t="shared" si="5"/>
        <v>1</v>
      </c>
      <c r="H82" s="76">
        <f t="shared" si="5"/>
        <v>0</v>
      </c>
      <c r="I82" s="76">
        <f t="shared" si="5"/>
        <v>0</v>
      </c>
      <c r="J82" s="76">
        <f t="shared" si="5"/>
        <v>0</v>
      </c>
      <c r="K82" s="76">
        <f t="shared" si="5"/>
        <v>80</v>
      </c>
    </row>
    <row r="83" spans="1:11" s="76" customFormat="1">
      <c r="A83" s="106">
        <f>IF(B83&gt;0,B83,IF(C83&gt;0,C83,IF(D83&gt;0,D83,IF(E83&gt;0,E83,IF(F83&gt;0,F83,IF(G83&gt;0,G83,IF(H83&gt;0,H83,IF(I83&gt;0,I83,IF(J83&gt;0,J83,0)))))))))</f>
        <v>1.26</v>
      </c>
      <c r="B83" s="76">
        <f t="shared" ref="B83:G83" si="6">B81*B82</f>
        <v>0</v>
      </c>
      <c r="C83" s="76">
        <f t="shared" si="6"/>
        <v>1.26</v>
      </c>
      <c r="D83" s="76">
        <f t="shared" si="6"/>
        <v>1.37</v>
      </c>
      <c r="E83" s="76">
        <f t="shared" si="6"/>
        <v>0</v>
      </c>
      <c r="F83" s="76">
        <f t="shared" si="6"/>
        <v>1.52</v>
      </c>
      <c r="G83" s="76">
        <f t="shared" si="6"/>
        <v>1.6</v>
      </c>
      <c r="H83" s="76">
        <f>IF($B$2&lt;700,H81*H82,0)</f>
        <v>0</v>
      </c>
      <c r="I83" s="76">
        <f>IF($B$2&lt;700,I81*I82,0)</f>
        <v>0</v>
      </c>
      <c r="J83" s="76">
        <f>IF($B$2&lt;700,J81*J82,0)</f>
        <v>0</v>
      </c>
    </row>
    <row r="84" spans="1:11" s="76" customFormat="1"/>
    <row r="85" spans="1:11" s="76" customFormat="1">
      <c r="A85" s="76" t="s">
        <v>512</v>
      </c>
    </row>
    <row r="86" spans="1:11" s="76" customFormat="1">
      <c r="A86" s="76" t="s">
        <v>513</v>
      </c>
      <c r="B86" s="76">
        <v>0.02</v>
      </c>
    </row>
    <row r="87" spans="1:11" s="76" customFormat="1">
      <c r="A87" s="76" t="s">
        <v>514</v>
      </c>
      <c r="B87" s="76">
        <v>7.0000000000000007E-2</v>
      </c>
    </row>
    <row r="88" spans="1:11" s="76" customFormat="1"/>
    <row r="89" spans="1:11" s="76" customFormat="1"/>
    <row r="90" spans="1:11" s="76" customFormat="1"/>
    <row r="91" spans="1:11" s="76" customFormat="1"/>
    <row r="92" spans="1:11" s="76" customFormat="1"/>
    <row r="93" spans="1:11" s="76" customFormat="1"/>
    <row r="94" spans="1:11" s="76" customFormat="1"/>
    <row r="95" spans="1:11" s="76" customFormat="1"/>
    <row r="96" spans="1:11" s="76" customFormat="1"/>
    <row r="97" spans="9:9" s="76" customFormat="1"/>
    <row r="98" spans="9:9" s="76" customFormat="1"/>
    <row r="99" spans="9:9" s="76" customFormat="1"/>
    <row r="100" spans="9:9" s="76" customFormat="1"/>
    <row r="101" spans="9:9" s="76" customFormat="1">
      <c r="I101" s="76">
        <f>I23</f>
        <v>8</v>
      </c>
    </row>
    <row r="102" spans="9:9" s="76" customFormat="1"/>
    <row r="103" spans="9:9" s="76" customFormat="1"/>
    <row r="104" spans="9:9" s="76" customFormat="1"/>
    <row r="105" spans="9:9" s="76" customFormat="1"/>
    <row r="106" spans="9:9" s="76" customFormat="1"/>
    <row r="107" spans="9:9" s="76" customFormat="1"/>
    <row r="108" spans="9:9" s="76" customFormat="1"/>
    <row r="109" spans="9:9" s="76" customFormat="1"/>
    <row r="110" spans="9:9" s="76" customFormat="1"/>
    <row r="111" spans="9:9" s="76" customFormat="1"/>
    <row r="112" spans="9:9" s="76" customFormat="1"/>
    <row r="113" s="76" customFormat="1"/>
    <row r="114" s="76" customFormat="1"/>
    <row r="115" s="76" customFormat="1"/>
    <row r="116" s="76" customFormat="1"/>
    <row r="117" s="76" customFormat="1"/>
  </sheetData>
  <mergeCells count="8">
    <mergeCell ref="C61:D63"/>
    <mergeCell ref="A66:M67"/>
    <mergeCell ref="F14:J19"/>
    <mergeCell ref="B35:C35"/>
    <mergeCell ref="B36:C36"/>
    <mergeCell ref="B47:C47"/>
    <mergeCell ref="D47:F47"/>
    <mergeCell ref="H47:I47"/>
  </mergeCells>
  <dataValidations count="6">
    <dataValidation type="list" allowBlank="1" showInputMessage="1" showErrorMessage="1" sqref="B2">
      <formula1>$K$24:$K$27</formula1>
    </dataValidation>
    <dataValidation type="list" allowBlank="1" showInputMessage="1" showErrorMessage="1" sqref="F23:F24 F36:F41 B5 F26:F28">
      <formula1>$S$22:$S$24</formula1>
    </dataValidation>
    <dataValidation type="list" allowBlank="1" showInputMessage="1" showErrorMessage="1" sqref="A13">
      <formula1>$A$49:$A$60</formula1>
    </dataValidation>
    <dataValidation type="list" allowBlank="1" showInputMessage="1" showErrorMessage="1" sqref="B3">
      <formula1>$I$1:$I$4</formula1>
    </dataValidation>
    <dataValidation type="list" allowBlank="1" showInputMessage="1" showErrorMessage="1" sqref="B1">
      <formula1>$L$1:$L$2</formula1>
    </dataValidation>
    <dataValidation type="list" allowBlank="1" showInputMessage="1" showErrorMessage="1" sqref="B4">
      <formula1>$G$36:$G$39</formula1>
    </dataValidation>
  </dataValidations>
  <hyperlinks>
    <hyperlink ref="D1" location="Новинки!A1" display="обратно в меню"/>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B1:O11"/>
  <sheetViews>
    <sheetView workbookViewId="0">
      <selection activeCell="O1" sqref="O1"/>
    </sheetView>
  </sheetViews>
  <sheetFormatPr defaultRowHeight="15"/>
  <sheetData>
    <row r="1" spans="2:15">
      <c r="B1" t="s">
        <v>1187</v>
      </c>
      <c r="G1" t="s">
        <v>1198</v>
      </c>
      <c r="L1">
        <v>400</v>
      </c>
      <c r="M1">
        <v>1988</v>
      </c>
      <c r="N1">
        <v>220</v>
      </c>
      <c r="O1">
        <f>M1/L1*N1</f>
        <v>1093.3999999999999</v>
      </c>
    </row>
    <row r="2" spans="2:15">
      <c r="B2" t="s">
        <v>1188</v>
      </c>
      <c r="G2" t="s">
        <v>1199</v>
      </c>
      <c r="L2">
        <v>400</v>
      </c>
      <c r="M2">
        <v>4188</v>
      </c>
    </row>
    <row r="3" spans="2:15">
      <c r="B3" t="s">
        <v>1189</v>
      </c>
      <c r="G3" t="s">
        <v>1200</v>
      </c>
      <c r="L3">
        <v>400</v>
      </c>
      <c r="M3">
        <v>4756</v>
      </c>
    </row>
    <row r="4" spans="2:15">
      <c r="B4" t="s">
        <v>1190</v>
      </c>
      <c r="G4" t="s">
        <v>1201</v>
      </c>
      <c r="L4">
        <v>400</v>
      </c>
      <c r="M4">
        <v>4820</v>
      </c>
    </row>
    <row r="5" spans="2:15">
      <c r="B5" t="s">
        <v>1191</v>
      </c>
      <c r="G5" t="s">
        <v>1202</v>
      </c>
      <c r="L5">
        <v>400</v>
      </c>
      <c r="M5">
        <v>7472</v>
      </c>
    </row>
    <row r="6" spans="2:15">
      <c r="B6" t="s">
        <v>1192</v>
      </c>
      <c r="G6" t="s">
        <v>1202</v>
      </c>
      <c r="L6">
        <v>400</v>
      </c>
      <c r="M6">
        <v>7472</v>
      </c>
    </row>
    <row r="7" spans="2:15">
      <c r="B7" t="s">
        <v>1193</v>
      </c>
      <c r="G7" t="s">
        <v>1203</v>
      </c>
      <c r="L7">
        <v>400</v>
      </c>
      <c r="M7">
        <v>7816</v>
      </c>
    </row>
    <row r="8" spans="2:15">
      <c r="B8" t="s">
        <v>1194</v>
      </c>
      <c r="G8" t="s">
        <v>1203</v>
      </c>
      <c r="L8">
        <v>400</v>
      </c>
      <c r="M8">
        <v>7816</v>
      </c>
    </row>
    <row r="9" spans="2:15">
      <c r="B9" t="s">
        <v>1195</v>
      </c>
      <c r="G9" t="s">
        <v>1204</v>
      </c>
      <c r="L9">
        <v>400</v>
      </c>
      <c r="M9">
        <v>4188</v>
      </c>
    </row>
    <row r="10" spans="2:15">
      <c r="B10" t="s">
        <v>1196</v>
      </c>
      <c r="G10" t="s">
        <v>1205</v>
      </c>
      <c r="L10">
        <v>400</v>
      </c>
      <c r="M10">
        <v>4960</v>
      </c>
    </row>
    <row r="11" spans="2:15">
      <c r="B11" t="s">
        <v>1197</v>
      </c>
      <c r="G11" t="s">
        <v>1205</v>
      </c>
      <c r="L11">
        <v>400</v>
      </c>
      <c r="M11">
        <v>4960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O129"/>
  <sheetViews>
    <sheetView workbookViewId="0">
      <selection activeCell="B26" sqref="B26"/>
    </sheetView>
  </sheetViews>
  <sheetFormatPr defaultRowHeight="15"/>
  <cols>
    <col min="2" max="2" width="23.5703125" customWidth="1"/>
    <col min="3" max="3" width="28.28515625" customWidth="1"/>
    <col min="4" max="4" width="22.42578125" customWidth="1"/>
  </cols>
  <sheetData>
    <row r="1" spans="1:15" ht="16.5" thickTop="1" thickBot="1">
      <c r="B1" t="s">
        <v>880</v>
      </c>
      <c r="C1">
        <v>4</v>
      </c>
      <c r="D1" s="3" t="s">
        <v>888</v>
      </c>
      <c r="F1" s="42"/>
      <c r="G1" s="60" t="s">
        <v>887</v>
      </c>
      <c r="H1" s="42">
        <f>SUM(O6:O32)</f>
        <v>1</v>
      </c>
    </row>
    <row r="2" spans="1:15" ht="16.5" thickTop="1" thickBot="1">
      <c r="B2" s="42" t="s">
        <v>884</v>
      </c>
      <c r="C2" s="61">
        <f>SUM(C6:C32)</f>
        <v>1260</v>
      </c>
      <c r="D2" s="60" t="s">
        <v>885</v>
      </c>
      <c r="E2" s="42">
        <f>E4</f>
        <v>100</v>
      </c>
      <c r="F2" s="42"/>
      <c r="G2" s="60" t="s">
        <v>886</v>
      </c>
      <c r="H2" s="42">
        <f>C2/E2</f>
        <v>12.6</v>
      </c>
    </row>
    <row r="3" spans="1:15" ht="15.75" thickTop="1"/>
    <row r="4" spans="1:15" ht="15.75" thickBot="1">
      <c r="B4" t="s">
        <v>878</v>
      </c>
      <c r="C4" s="64">
        <f>Печать!I2/Настройки!K4*Настройки!M4</f>
        <v>1260</v>
      </c>
      <c r="D4" s="64" t="str">
        <f>Печать!A5</f>
        <v> 210х297 (А4)</v>
      </c>
      <c r="E4" s="64">
        <f>Печать!I4</f>
        <v>100</v>
      </c>
      <c r="F4" s="64" t="str">
        <f>Печать!C3</f>
        <v>Цветной</v>
      </c>
      <c r="G4" s="64" t="str">
        <f>Печать!C5</f>
        <v>Нет</v>
      </c>
      <c r="H4" s="64">
        <f>Печать!F3</f>
        <v>100</v>
      </c>
      <c r="I4" s="64">
        <f>Печать!G12</f>
        <v>0</v>
      </c>
      <c r="J4" s="64">
        <f>Печать!G13</f>
        <v>0</v>
      </c>
      <c r="K4" s="64">
        <f>Печать!G14</f>
        <v>0</v>
      </c>
      <c r="L4" s="64">
        <f>Печать!G15</f>
        <v>0</v>
      </c>
      <c r="M4" s="64">
        <f>Печать!J9</f>
        <v>0</v>
      </c>
      <c r="N4" s="66">
        <f>B102</f>
        <v>110</v>
      </c>
    </row>
    <row r="5" spans="1:15" ht="16.5" thickTop="1" thickBot="1">
      <c r="C5" s="60" t="s">
        <v>881</v>
      </c>
      <c r="D5" s="1" t="s">
        <v>882</v>
      </c>
      <c r="E5" s="60" t="s">
        <v>311</v>
      </c>
      <c r="F5" s="40" t="s">
        <v>285</v>
      </c>
      <c r="G5" s="1" t="s">
        <v>286</v>
      </c>
      <c r="H5" s="1" t="s">
        <v>301</v>
      </c>
      <c r="I5" s="60" t="s">
        <v>160</v>
      </c>
      <c r="J5" s="60" t="s">
        <v>288</v>
      </c>
      <c r="K5" s="60" t="s">
        <v>290</v>
      </c>
      <c r="L5" s="60" t="s">
        <v>291</v>
      </c>
      <c r="M5" s="53" t="s">
        <v>467</v>
      </c>
      <c r="N5" s="199" t="s">
        <v>879</v>
      </c>
    </row>
    <row r="6" spans="1:15" ht="15.75" thickTop="1">
      <c r="A6">
        <v>1</v>
      </c>
      <c r="B6" t="s">
        <v>877</v>
      </c>
      <c r="C6">
        <f>C$4*O6</f>
        <v>1260</v>
      </c>
      <c r="D6" t="str">
        <f t="shared" ref="D6:H21" si="0">D$4</f>
        <v> 210х297 (А4)</v>
      </c>
      <c r="E6">
        <f>E$4*$O6</f>
        <v>100</v>
      </c>
      <c r="F6" t="str">
        <f t="shared" si="0"/>
        <v>Цветной</v>
      </c>
      <c r="G6" t="str">
        <f t="shared" si="0"/>
        <v>Нет</v>
      </c>
      <c r="H6">
        <f t="shared" si="0"/>
        <v>100</v>
      </c>
      <c r="I6">
        <f>I$4*O6</f>
        <v>0</v>
      </c>
      <c r="J6">
        <f>J$4*$O6</f>
        <v>0</v>
      </c>
      <c r="K6">
        <f t="shared" ref="K6:N21" si="1">K$4*$O6</f>
        <v>0</v>
      </c>
      <c r="L6">
        <f t="shared" si="1"/>
        <v>0</v>
      </c>
      <c r="M6">
        <f t="shared" si="1"/>
        <v>0</v>
      </c>
      <c r="N6">
        <f t="shared" si="1"/>
        <v>110</v>
      </c>
      <c r="O6">
        <f>IF($C$1/4&gt;=A6,1,0)</f>
        <v>1</v>
      </c>
    </row>
    <row r="7" spans="1:15">
      <c r="A7">
        <v>2</v>
      </c>
      <c r="B7" t="s">
        <v>883</v>
      </c>
      <c r="C7">
        <f t="shared" ref="C7:C32" si="2">C$4*O7</f>
        <v>0</v>
      </c>
      <c r="D7" t="str">
        <f t="shared" si="0"/>
        <v> 210х297 (А4)</v>
      </c>
      <c r="E7">
        <f t="shared" ref="E7:E32" si="3">E$4*$O7</f>
        <v>0</v>
      </c>
      <c r="F7" t="str">
        <f t="shared" si="0"/>
        <v>Цветной</v>
      </c>
      <c r="G7" t="str">
        <f t="shared" si="0"/>
        <v>Нет</v>
      </c>
      <c r="H7">
        <f t="shared" si="0"/>
        <v>100</v>
      </c>
      <c r="I7">
        <f t="shared" ref="I7:I32" si="4">I$4*O7</f>
        <v>0</v>
      </c>
      <c r="J7">
        <f t="shared" ref="J7:N32" si="5">J$4*$O7</f>
        <v>0</v>
      </c>
      <c r="K7">
        <f t="shared" si="1"/>
        <v>0</v>
      </c>
      <c r="L7">
        <f t="shared" si="1"/>
        <v>0</v>
      </c>
      <c r="M7">
        <f t="shared" si="1"/>
        <v>0</v>
      </c>
      <c r="N7">
        <f t="shared" si="1"/>
        <v>0</v>
      </c>
      <c r="O7">
        <f t="shared" ref="O7:O32" si="6">IF($C$1/4&gt;=A7,1,0)</f>
        <v>0</v>
      </c>
    </row>
    <row r="8" spans="1:15">
      <c r="A8">
        <v>3</v>
      </c>
      <c r="B8" t="s">
        <v>883</v>
      </c>
      <c r="C8">
        <f t="shared" si="2"/>
        <v>0</v>
      </c>
      <c r="D8" t="str">
        <f t="shared" si="0"/>
        <v> 210х297 (А4)</v>
      </c>
      <c r="E8">
        <f t="shared" si="3"/>
        <v>0</v>
      </c>
      <c r="F8" t="str">
        <f t="shared" si="0"/>
        <v>Цветной</v>
      </c>
      <c r="G8" t="str">
        <f t="shared" si="0"/>
        <v>Нет</v>
      </c>
      <c r="H8">
        <f t="shared" si="0"/>
        <v>100</v>
      </c>
      <c r="I8">
        <f t="shared" si="4"/>
        <v>0</v>
      </c>
      <c r="J8">
        <f t="shared" si="5"/>
        <v>0</v>
      </c>
      <c r="K8">
        <f t="shared" si="1"/>
        <v>0</v>
      </c>
      <c r="L8">
        <f t="shared" si="1"/>
        <v>0</v>
      </c>
      <c r="M8">
        <f t="shared" si="1"/>
        <v>0</v>
      </c>
      <c r="N8">
        <f t="shared" si="1"/>
        <v>0</v>
      </c>
      <c r="O8">
        <f t="shared" si="6"/>
        <v>0</v>
      </c>
    </row>
    <row r="9" spans="1:15">
      <c r="A9">
        <v>4</v>
      </c>
      <c r="B9" t="s">
        <v>883</v>
      </c>
      <c r="C9">
        <f t="shared" si="2"/>
        <v>0</v>
      </c>
      <c r="D9" t="str">
        <f t="shared" si="0"/>
        <v> 210х297 (А4)</v>
      </c>
      <c r="E9">
        <f t="shared" si="3"/>
        <v>0</v>
      </c>
      <c r="F9" t="str">
        <f t="shared" si="0"/>
        <v>Цветной</v>
      </c>
      <c r="G9" t="str">
        <f t="shared" si="0"/>
        <v>Нет</v>
      </c>
      <c r="H9">
        <f t="shared" si="0"/>
        <v>100</v>
      </c>
      <c r="I9">
        <f t="shared" si="4"/>
        <v>0</v>
      </c>
      <c r="J9">
        <f t="shared" si="5"/>
        <v>0</v>
      </c>
      <c r="K9">
        <f t="shared" si="1"/>
        <v>0</v>
      </c>
      <c r="L9">
        <f t="shared" si="1"/>
        <v>0</v>
      </c>
      <c r="M9">
        <f t="shared" si="1"/>
        <v>0</v>
      </c>
      <c r="N9">
        <f t="shared" si="1"/>
        <v>0</v>
      </c>
      <c r="O9">
        <f t="shared" si="6"/>
        <v>0</v>
      </c>
    </row>
    <row r="10" spans="1:15">
      <c r="A10">
        <v>5</v>
      </c>
      <c r="B10" t="s">
        <v>883</v>
      </c>
      <c r="C10">
        <f t="shared" si="2"/>
        <v>0</v>
      </c>
      <c r="D10" t="str">
        <f t="shared" si="0"/>
        <v> 210х297 (А4)</v>
      </c>
      <c r="E10">
        <f t="shared" si="3"/>
        <v>0</v>
      </c>
      <c r="F10" t="str">
        <f t="shared" si="0"/>
        <v>Цветной</v>
      </c>
      <c r="G10" t="str">
        <f t="shared" si="0"/>
        <v>Нет</v>
      </c>
      <c r="H10">
        <f t="shared" si="0"/>
        <v>100</v>
      </c>
      <c r="I10">
        <f t="shared" si="4"/>
        <v>0</v>
      </c>
      <c r="J10">
        <f t="shared" si="5"/>
        <v>0</v>
      </c>
      <c r="K10">
        <f t="shared" si="1"/>
        <v>0</v>
      </c>
      <c r="L10">
        <f t="shared" si="1"/>
        <v>0</v>
      </c>
      <c r="M10">
        <f t="shared" si="1"/>
        <v>0</v>
      </c>
      <c r="N10">
        <f t="shared" si="1"/>
        <v>0</v>
      </c>
      <c r="O10">
        <f t="shared" si="6"/>
        <v>0</v>
      </c>
    </row>
    <row r="11" spans="1:15">
      <c r="A11">
        <v>6</v>
      </c>
      <c r="B11" t="s">
        <v>883</v>
      </c>
      <c r="C11">
        <f t="shared" si="2"/>
        <v>0</v>
      </c>
      <c r="D11" t="str">
        <f t="shared" si="0"/>
        <v> 210х297 (А4)</v>
      </c>
      <c r="E11">
        <f t="shared" si="3"/>
        <v>0</v>
      </c>
      <c r="F11" t="str">
        <f t="shared" si="0"/>
        <v>Цветной</v>
      </c>
      <c r="G11" t="str">
        <f t="shared" si="0"/>
        <v>Нет</v>
      </c>
      <c r="H11">
        <f t="shared" si="0"/>
        <v>100</v>
      </c>
      <c r="I11">
        <f t="shared" si="4"/>
        <v>0</v>
      </c>
      <c r="J11">
        <f t="shared" si="5"/>
        <v>0</v>
      </c>
      <c r="K11">
        <f t="shared" si="1"/>
        <v>0</v>
      </c>
      <c r="L11">
        <f t="shared" si="1"/>
        <v>0</v>
      </c>
      <c r="M11">
        <f t="shared" si="1"/>
        <v>0</v>
      </c>
      <c r="N11">
        <f t="shared" si="1"/>
        <v>0</v>
      </c>
      <c r="O11">
        <f t="shared" si="6"/>
        <v>0</v>
      </c>
    </row>
    <row r="12" spans="1:15">
      <c r="A12">
        <v>7</v>
      </c>
      <c r="B12" t="s">
        <v>883</v>
      </c>
      <c r="C12">
        <f t="shared" si="2"/>
        <v>0</v>
      </c>
      <c r="D12" t="str">
        <f t="shared" si="0"/>
        <v> 210х297 (А4)</v>
      </c>
      <c r="E12">
        <f t="shared" si="3"/>
        <v>0</v>
      </c>
      <c r="F12" t="str">
        <f t="shared" si="0"/>
        <v>Цветной</v>
      </c>
      <c r="G12" t="str">
        <f t="shared" si="0"/>
        <v>Нет</v>
      </c>
      <c r="H12">
        <f t="shared" si="0"/>
        <v>100</v>
      </c>
      <c r="I12">
        <f t="shared" si="4"/>
        <v>0</v>
      </c>
      <c r="J12">
        <f t="shared" si="5"/>
        <v>0</v>
      </c>
      <c r="K12">
        <f t="shared" si="1"/>
        <v>0</v>
      </c>
      <c r="L12">
        <f t="shared" si="1"/>
        <v>0</v>
      </c>
      <c r="M12">
        <f t="shared" si="1"/>
        <v>0</v>
      </c>
      <c r="N12">
        <f t="shared" si="1"/>
        <v>0</v>
      </c>
      <c r="O12">
        <f t="shared" si="6"/>
        <v>0</v>
      </c>
    </row>
    <row r="13" spans="1:15">
      <c r="A13">
        <v>8</v>
      </c>
      <c r="B13" t="s">
        <v>883</v>
      </c>
      <c r="C13">
        <f t="shared" si="2"/>
        <v>0</v>
      </c>
      <c r="D13" t="str">
        <f t="shared" si="0"/>
        <v> 210х297 (А4)</v>
      </c>
      <c r="E13">
        <f t="shared" si="3"/>
        <v>0</v>
      </c>
      <c r="F13" t="str">
        <f t="shared" si="0"/>
        <v>Цветной</v>
      </c>
      <c r="G13" t="str">
        <f t="shared" si="0"/>
        <v>Нет</v>
      </c>
      <c r="H13">
        <f t="shared" si="0"/>
        <v>100</v>
      </c>
      <c r="I13">
        <f t="shared" si="4"/>
        <v>0</v>
      </c>
      <c r="J13">
        <f t="shared" si="5"/>
        <v>0</v>
      </c>
      <c r="K13">
        <f t="shared" si="1"/>
        <v>0</v>
      </c>
      <c r="L13">
        <f t="shared" si="1"/>
        <v>0</v>
      </c>
      <c r="M13">
        <f t="shared" si="1"/>
        <v>0</v>
      </c>
      <c r="N13">
        <f t="shared" si="1"/>
        <v>0</v>
      </c>
      <c r="O13">
        <f t="shared" si="6"/>
        <v>0</v>
      </c>
    </row>
    <row r="14" spans="1:15">
      <c r="A14">
        <v>9</v>
      </c>
      <c r="B14" t="s">
        <v>883</v>
      </c>
      <c r="C14">
        <f t="shared" si="2"/>
        <v>0</v>
      </c>
      <c r="D14" t="str">
        <f t="shared" si="0"/>
        <v> 210х297 (А4)</v>
      </c>
      <c r="E14">
        <f t="shared" si="3"/>
        <v>0</v>
      </c>
      <c r="F14" t="str">
        <f t="shared" si="0"/>
        <v>Цветной</v>
      </c>
      <c r="G14" t="str">
        <f t="shared" si="0"/>
        <v>Нет</v>
      </c>
      <c r="H14">
        <f t="shared" si="0"/>
        <v>100</v>
      </c>
      <c r="I14">
        <f t="shared" si="4"/>
        <v>0</v>
      </c>
      <c r="J14">
        <f t="shared" si="5"/>
        <v>0</v>
      </c>
      <c r="K14">
        <f t="shared" si="1"/>
        <v>0</v>
      </c>
      <c r="L14">
        <f t="shared" si="1"/>
        <v>0</v>
      </c>
      <c r="M14">
        <f t="shared" si="1"/>
        <v>0</v>
      </c>
      <c r="N14">
        <f t="shared" si="1"/>
        <v>0</v>
      </c>
      <c r="O14">
        <f t="shared" si="6"/>
        <v>0</v>
      </c>
    </row>
    <row r="15" spans="1:15">
      <c r="A15">
        <v>10</v>
      </c>
      <c r="B15" t="s">
        <v>883</v>
      </c>
      <c r="C15">
        <f t="shared" si="2"/>
        <v>0</v>
      </c>
      <c r="D15" t="str">
        <f t="shared" si="0"/>
        <v> 210х297 (А4)</v>
      </c>
      <c r="E15">
        <f t="shared" si="3"/>
        <v>0</v>
      </c>
      <c r="F15" t="str">
        <f t="shared" si="0"/>
        <v>Цветной</v>
      </c>
      <c r="G15" t="str">
        <f t="shared" si="0"/>
        <v>Нет</v>
      </c>
      <c r="H15">
        <f t="shared" si="0"/>
        <v>100</v>
      </c>
      <c r="I15">
        <f t="shared" si="4"/>
        <v>0</v>
      </c>
      <c r="J15">
        <f t="shared" si="5"/>
        <v>0</v>
      </c>
      <c r="K15">
        <f t="shared" si="1"/>
        <v>0</v>
      </c>
      <c r="L15">
        <f t="shared" si="1"/>
        <v>0</v>
      </c>
      <c r="M15">
        <f t="shared" si="1"/>
        <v>0</v>
      </c>
      <c r="N15">
        <f t="shared" si="1"/>
        <v>0</v>
      </c>
      <c r="O15">
        <f t="shared" si="6"/>
        <v>0</v>
      </c>
    </row>
    <row r="16" spans="1:15">
      <c r="A16">
        <v>11</v>
      </c>
      <c r="B16" t="s">
        <v>883</v>
      </c>
      <c r="C16">
        <f t="shared" si="2"/>
        <v>0</v>
      </c>
      <c r="D16" t="str">
        <f t="shared" si="0"/>
        <v> 210х297 (А4)</v>
      </c>
      <c r="E16">
        <f t="shared" si="3"/>
        <v>0</v>
      </c>
      <c r="F16" t="str">
        <f t="shared" si="0"/>
        <v>Цветной</v>
      </c>
      <c r="G16" t="str">
        <f t="shared" si="0"/>
        <v>Нет</v>
      </c>
      <c r="H16">
        <f t="shared" si="0"/>
        <v>100</v>
      </c>
      <c r="I16">
        <f t="shared" si="4"/>
        <v>0</v>
      </c>
      <c r="J16">
        <f t="shared" si="5"/>
        <v>0</v>
      </c>
      <c r="K16">
        <f t="shared" si="1"/>
        <v>0</v>
      </c>
      <c r="L16">
        <f t="shared" si="1"/>
        <v>0</v>
      </c>
      <c r="M16">
        <f t="shared" si="1"/>
        <v>0</v>
      </c>
      <c r="N16">
        <f t="shared" si="1"/>
        <v>0</v>
      </c>
      <c r="O16">
        <f t="shared" si="6"/>
        <v>0</v>
      </c>
    </row>
    <row r="17" spans="1:15">
      <c r="A17">
        <v>12</v>
      </c>
      <c r="B17" t="s">
        <v>883</v>
      </c>
      <c r="C17">
        <f t="shared" si="2"/>
        <v>0</v>
      </c>
      <c r="D17" t="str">
        <f t="shared" si="0"/>
        <v> 210х297 (А4)</v>
      </c>
      <c r="E17">
        <f t="shared" si="3"/>
        <v>0</v>
      </c>
      <c r="F17" t="str">
        <f t="shared" si="0"/>
        <v>Цветной</v>
      </c>
      <c r="G17" t="str">
        <f t="shared" si="0"/>
        <v>Нет</v>
      </c>
      <c r="H17">
        <f t="shared" si="0"/>
        <v>100</v>
      </c>
      <c r="I17">
        <f t="shared" si="4"/>
        <v>0</v>
      </c>
      <c r="J17">
        <f t="shared" si="5"/>
        <v>0</v>
      </c>
      <c r="K17">
        <f t="shared" si="1"/>
        <v>0</v>
      </c>
      <c r="L17">
        <f t="shared" si="1"/>
        <v>0</v>
      </c>
      <c r="M17">
        <f t="shared" si="1"/>
        <v>0</v>
      </c>
      <c r="N17">
        <f t="shared" si="1"/>
        <v>0</v>
      </c>
      <c r="O17">
        <f t="shared" si="6"/>
        <v>0</v>
      </c>
    </row>
    <row r="18" spans="1:15">
      <c r="A18">
        <v>13</v>
      </c>
      <c r="B18" t="s">
        <v>883</v>
      </c>
      <c r="C18">
        <f t="shared" si="2"/>
        <v>0</v>
      </c>
      <c r="D18" t="str">
        <f t="shared" si="0"/>
        <v> 210х297 (А4)</v>
      </c>
      <c r="E18">
        <f t="shared" si="3"/>
        <v>0</v>
      </c>
      <c r="F18" t="str">
        <f t="shared" si="0"/>
        <v>Цветной</v>
      </c>
      <c r="G18" t="str">
        <f t="shared" si="0"/>
        <v>Нет</v>
      </c>
      <c r="H18">
        <f t="shared" si="0"/>
        <v>100</v>
      </c>
      <c r="I18">
        <f t="shared" si="4"/>
        <v>0</v>
      </c>
      <c r="J18">
        <f t="shared" si="5"/>
        <v>0</v>
      </c>
      <c r="K18">
        <f t="shared" si="1"/>
        <v>0</v>
      </c>
      <c r="L18">
        <f t="shared" si="1"/>
        <v>0</v>
      </c>
      <c r="M18">
        <f t="shared" si="1"/>
        <v>0</v>
      </c>
      <c r="N18">
        <f t="shared" si="1"/>
        <v>0</v>
      </c>
      <c r="O18">
        <f t="shared" si="6"/>
        <v>0</v>
      </c>
    </row>
    <row r="19" spans="1:15">
      <c r="A19">
        <v>14</v>
      </c>
      <c r="B19" t="s">
        <v>883</v>
      </c>
      <c r="C19">
        <f t="shared" si="2"/>
        <v>0</v>
      </c>
      <c r="D19" t="str">
        <f t="shared" si="0"/>
        <v> 210х297 (А4)</v>
      </c>
      <c r="E19">
        <f t="shared" si="3"/>
        <v>0</v>
      </c>
      <c r="F19" t="str">
        <f t="shared" si="0"/>
        <v>Цветной</v>
      </c>
      <c r="G19" t="str">
        <f t="shared" si="0"/>
        <v>Нет</v>
      </c>
      <c r="H19">
        <f t="shared" si="0"/>
        <v>100</v>
      </c>
      <c r="I19">
        <f t="shared" si="4"/>
        <v>0</v>
      </c>
      <c r="J19">
        <f t="shared" si="5"/>
        <v>0</v>
      </c>
      <c r="K19">
        <f t="shared" si="1"/>
        <v>0</v>
      </c>
      <c r="L19">
        <f t="shared" si="1"/>
        <v>0</v>
      </c>
      <c r="M19">
        <f t="shared" si="1"/>
        <v>0</v>
      </c>
      <c r="N19">
        <f t="shared" si="1"/>
        <v>0</v>
      </c>
      <c r="O19">
        <f t="shared" si="6"/>
        <v>0</v>
      </c>
    </row>
    <row r="20" spans="1:15">
      <c r="A20">
        <v>15</v>
      </c>
      <c r="B20" t="s">
        <v>883</v>
      </c>
      <c r="C20">
        <f t="shared" si="2"/>
        <v>0</v>
      </c>
      <c r="D20" t="str">
        <f t="shared" si="0"/>
        <v> 210х297 (А4)</v>
      </c>
      <c r="E20">
        <f t="shared" si="3"/>
        <v>0</v>
      </c>
      <c r="F20" t="str">
        <f t="shared" si="0"/>
        <v>Цветной</v>
      </c>
      <c r="G20" t="str">
        <f t="shared" si="0"/>
        <v>Нет</v>
      </c>
      <c r="H20">
        <f t="shared" si="0"/>
        <v>100</v>
      </c>
      <c r="I20">
        <f t="shared" si="4"/>
        <v>0</v>
      </c>
      <c r="J20">
        <f t="shared" si="5"/>
        <v>0</v>
      </c>
      <c r="K20">
        <f t="shared" si="1"/>
        <v>0</v>
      </c>
      <c r="L20">
        <f t="shared" si="1"/>
        <v>0</v>
      </c>
      <c r="M20">
        <f t="shared" si="1"/>
        <v>0</v>
      </c>
      <c r="N20">
        <f t="shared" si="1"/>
        <v>0</v>
      </c>
      <c r="O20">
        <f t="shared" si="6"/>
        <v>0</v>
      </c>
    </row>
    <row r="21" spans="1:15">
      <c r="A21">
        <v>16</v>
      </c>
      <c r="B21" t="s">
        <v>883</v>
      </c>
      <c r="C21">
        <f t="shared" si="2"/>
        <v>0</v>
      </c>
      <c r="D21" t="str">
        <f t="shared" si="0"/>
        <v> 210х297 (А4)</v>
      </c>
      <c r="E21">
        <f t="shared" si="3"/>
        <v>0</v>
      </c>
      <c r="F21" t="str">
        <f t="shared" si="0"/>
        <v>Цветной</v>
      </c>
      <c r="G21" t="str">
        <f t="shared" si="0"/>
        <v>Нет</v>
      </c>
      <c r="H21">
        <f t="shared" si="0"/>
        <v>100</v>
      </c>
      <c r="I21">
        <f t="shared" si="4"/>
        <v>0</v>
      </c>
      <c r="J21">
        <f t="shared" si="5"/>
        <v>0</v>
      </c>
      <c r="K21">
        <f t="shared" si="1"/>
        <v>0</v>
      </c>
      <c r="L21">
        <f t="shared" si="1"/>
        <v>0</v>
      </c>
      <c r="M21">
        <f t="shared" si="1"/>
        <v>0</v>
      </c>
      <c r="N21">
        <f t="shared" si="1"/>
        <v>0</v>
      </c>
      <c r="O21">
        <f t="shared" si="6"/>
        <v>0</v>
      </c>
    </row>
    <row r="22" spans="1:15">
      <c r="A22">
        <v>17</v>
      </c>
      <c r="B22" t="s">
        <v>883</v>
      </c>
      <c r="C22">
        <f t="shared" si="2"/>
        <v>0</v>
      </c>
      <c r="D22" t="str">
        <f t="shared" ref="D22:D32" si="7">D$4</f>
        <v> 210х297 (А4)</v>
      </c>
      <c r="E22">
        <f t="shared" si="3"/>
        <v>0</v>
      </c>
      <c r="F22" t="str">
        <f t="shared" ref="F22:H32" si="8">F$4</f>
        <v>Цветной</v>
      </c>
      <c r="G22" t="str">
        <f t="shared" si="8"/>
        <v>Нет</v>
      </c>
      <c r="H22">
        <f t="shared" si="8"/>
        <v>100</v>
      </c>
      <c r="I22">
        <f t="shared" si="4"/>
        <v>0</v>
      </c>
      <c r="J22">
        <f t="shared" si="5"/>
        <v>0</v>
      </c>
      <c r="K22">
        <f t="shared" si="5"/>
        <v>0</v>
      </c>
      <c r="L22">
        <f t="shared" si="5"/>
        <v>0</v>
      </c>
      <c r="M22">
        <f t="shared" si="5"/>
        <v>0</v>
      </c>
      <c r="N22">
        <f t="shared" si="5"/>
        <v>0</v>
      </c>
      <c r="O22">
        <f t="shared" si="6"/>
        <v>0</v>
      </c>
    </row>
    <row r="23" spans="1:15">
      <c r="A23">
        <v>18</v>
      </c>
      <c r="B23" t="s">
        <v>883</v>
      </c>
      <c r="C23">
        <f t="shared" si="2"/>
        <v>0</v>
      </c>
      <c r="D23" t="str">
        <f t="shared" si="7"/>
        <v> 210х297 (А4)</v>
      </c>
      <c r="E23">
        <f t="shared" si="3"/>
        <v>0</v>
      </c>
      <c r="F23" t="str">
        <f t="shared" si="8"/>
        <v>Цветной</v>
      </c>
      <c r="G23" t="str">
        <f t="shared" si="8"/>
        <v>Нет</v>
      </c>
      <c r="H23">
        <f t="shared" si="8"/>
        <v>100</v>
      </c>
      <c r="I23">
        <f t="shared" si="4"/>
        <v>0</v>
      </c>
      <c r="J23">
        <f t="shared" si="5"/>
        <v>0</v>
      </c>
      <c r="K23">
        <f t="shared" si="5"/>
        <v>0</v>
      </c>
      <c r="L23">
        <f t="shared" si="5"/>
        <v>0</v>
      </c>
      <c r="M23">
        <f t="shared" si="5"/>
        <v>0</v>
      </c>
      <c r="N23">
        <f t="shared" si="5"/>
        <v>0</v>
      </c>
      <c r="O23">
        <f t="shared" si="6"/>
        <v>0</v>
      </c>
    </row>
    <row r="24" spans="1:15">
      <c r="A24">
        <v>19</v>
      </c>
      <c r="B24" t="s">
        <v>883</v>
      </c>
      <c r="C24">
        <f t="shared" si="2"/>
        <v>0</v>
      </c>
      <c r="D24" t="str">
        <f t="shared" si="7"/>
        <v> 210х297 (А4)</v>
      </c>
      <c r="E24">
        <f t="shared" si="3"/>
        <v>0</v>
      </c>
      <c r="F24" t="str">
        <f t="shared" si="8"/>
        <v>Цветной</v>
      </c>
      <c r="G24" t="str">
        <f t="shared" si="8"/>
        <v>Нет</v>
      </c>
      <c r="H24">
        <f t="shared" si="8"/>
        <v>100</v>
      </c>
      <c r="I24">
        <f t="shared" si="4"/>
        <v>0</v>
      </c>
      <c r="J24">
        <f t="shared" si="5"/>
        <v>0</v>
      </c>
      <c r="K24">
        <f t="shared" si="5"/>
        <v>0</v>
      </c>
      <c r="L24">
        <f t="shared" si="5"/>
        <v>0</v>
      </c>
      <c r="M24">
        <f t="shared" si="5"/>
        <v>0</v>
      </c>
      <c r="N24">
        <f t="shared" si="5"/>
        <v>0</v>
      </c>
      <c r="O24">
        <f t="shared" si="6"/>
        <v>0</v>
      </c>
    </row>
    <row r="25" spans="1:15">
      <c r="A25">
        <v>20</v>
      </c>
      <c r="B25" t="s">
        <v>883</v>
      </c>
      <c r="C25">
        <f t="shared" si="2"/>
        <v>0</v>
      </c>
      <c r="D25" t="str">
        <f t="shared" si="7"/>
        <v> 210х297 (А4)</v>
      </c>
      <c r="E25">
        <f t="shared" si="3"/>
        <v>0</v>
      </c>
      <c r="F25" t="str">
        <f t="shared" si="8"/>
        <v>Цветной</v>
      </c>
      <c r="G25" t="str">
        <f t="shared" si="8"/>
        <v>Нет</v>
      </c>
      <c r="H25">
        <f t="shared" si="8"/>
        <v>100</v>
      </c>
      <c r="I25">
        <f t="shared" si="4"/>
        <v>0</v>
      </c>
      <c r="J25">
        <f t="shared" si="5"/>
        <v>0</v>
      </c>
      <c r="K25">
        <f t="shared" si="5"/>
        <v>0</v>
      </c>
      <c r="L25">
        <f t="shared" si="5"/>
        <v>0</v>
      </c>
      <c r="M25">
        <f t="shared" si="5"/>
        <v>0</v>
      </c>
      <c r="N25">
        <f t="shared" si="5"/>
        <v>0</v>
      </c>
      <c r="O25">
        <f t="shared" si="6"/>
        <v>0</v>
      </c>
    </row>
    <row r="26" spans="1:15">
      <c r="A26">
        <v>21</v>
      </c>
      <c r="B26" t="s">
        <v>883</v>
      </c>
      <c r="C26">
        <f t="shared" si="2"/>
        <v>0</v>
      </c>
      <c r="D26" t="str">
        <f t="shared" si="7"/>
        <v> 210х297 (А4)</v>
      </c>
      <c r="E26">
        <f t="shared" si="3"/>
        <v>0</v>
      </c>
      <c r="F26" t="str">
        <f t="shared" si="8"/>
        <v>Цветной</v>
      </c>
      <c r="G26" t="str">
        <f t="shared" si="8"/>
        <v>Нет</v>
      </c>
      <c r="H26">
        <f t="shared" si="8"/>
        <v>100</v>
      </c>
      <c r="I26">
        <f t="shared" si="4"/>
        <v>0</v>
      </c>
      <c r="J26">
        <f t="shared" si="5"/>
        <v>0</v>
      </c>
      <c r="K26">
        <f t="shared" si="5"/>
        <v>0</v>
      </c>
      <c r="L26">
        <f t="shared" si="5"/>
        <v>0</v>
      </c>
      <c r="M26">
        <f t="shared" si="5"/>
        <v>0</v>
      </c>
      <c r="N26">
        <f t="shared" si="5"/>
        <v>0</v>
      </c>
      <c r="O26">
        <f t="shared" si="6"/>
        <v>0</v>
      </c>
    </row>
    <row r="27" spans="1:15">
      <c r="A27">
        <v>22</v>
      </c>
      <c r="B27" t="s">
        <v>883</v>
      </c>
      <c r="C27">
        <f t="shared" si="2"/>
        <v>0</v>
      </c>
      <c r="D27" t="str">
        <f t="shared" si="7"/>
        <v> 210х297 (А4)</v>
      </c>
      <c r="E27">
        <f t="shared" si="3"/>
        <v>0</v>
      </c>
      <c r="F27" t="str">
        <f t="shared" si="8"/>
        <v>Цветной</v>
      </c>
      <c r="G27" t="str">
        <f t="shared" si="8"/>
        <v>Нет</v>
      </c>
      <c r="H27">
        <f t="shared" si="8"/>
        <v>100</v>
      </c>
      <c r="I27">
        <f t="shared" si="4"/>
        <v>0</v>
      </c>
      <c r="J27">
        <f t="shared" si="5"/>
        <v>0</v>
      </c>
      <c r="K27">
        <f t="shared" si="5"/>
        <v>0</v>
      </c>
      <c r="L27">
        <f t="shared" si="5"/>
        <v>0</v>
      </c>
      <c r="M27">
        <f t="shared" si="5"/>
        <v>0</v>
      </c>
      <c r="N27">
        <f t="shared" si="5"/>
        <v>0</v>
      </c>
      <c r="O27">
        <f t="shared" si="6"/>
        <v>0</v>
      </c>
    </row>
    <row r="28" spans="1:15">
      <c r="A28">
        <v>23</v>
      </c>
      <c r="B28" t="s">
        <v>883</v>
      </c>
      <c r="C28">
        <f t="shared" si="2"/>
        <v>0</v>
      </c>
      <c r="D28" t="str">
        <f t="shared" si="7"/>
        <v> 210х297 (А4)</v>
      </c>
      <c r="E28">
        <f t="shared" si="3"/>
        <v>0</v>
      </c>
      <c r="F28" t="str">
        <f t="shared" si="8"/>
        <v>Цветной</v>
      </c>
      <c r="G28" t="str">
        <f t="shared" si="8"/>
        <v>Нет</v>
      </c>
      <c r="H28">
        <f t="shared" si="8"/>
        <v>100</v>
      </c>
      <c r="I28">
        <f t="shared" si="4"/>
        <v>0</v>
      </c>
      <c r="J28">
        <f t="shared" si="5"/>
        <v>0</v>
      </c>
      <c r="K28">
        <f t="shared" si="5"/>
        <v>0</v>
      </c>
      <c r="L28">
        <f t="shared" si="5"/>
        <v>0</v>
      </c>
      <c r="M28">
        <f t="shared" si="5"/>
        <v>0</v>
      </c>
      <c r="N28">
        <f t="shared" si="5"/>
        <v>0</v>
      </c>
      <c r="O28">
        <f t="shared" si="6"/>
        <v>0</v>
      </c>
    </row>
    <row r="29" spans="1:15">
      <c r="A29">
        <v>24</v>
      </c>
      <c r="B29" t="s">
        <v>883</v>
      </c>
      <c r="C29">
        <f t="shared" si="2"/>
        <v>0</v>
      </c>
      <c r="D29" t="str">
        <f t="shared" si="7"/>
        <v> 210х297 (А4)</v>
      </c>
      <c r="E29">
        <f t="shared" si="3"/>
        <v>0</v>
      </c>
      <c r="F29" t="str">
        <f t="shared" si="8"/>
        <v>Цветной</v>
      </c>
      <c r="G29" t="str">
        <f t="shared" si="8"/>
        <v>Нет</v>
      </c>
      <c r="H29">
        <f t="shared" si="8"/>
        <v>100</v>
      </c>
      <c r="I29">
        <f t="shared" si="4"/>
        <v>0</v>
      </c>
      <c r="J29">
        <f t="shared" si="5"/>
        <v>0</v>
      </c>
      <c r="K29">
        <f t="shared" si="5"/>
        <v>0</v>
      </c>
      <c r="L29">
        <f t="shared" si="5"/>
        <v>0</v>
      </c>
      <c r="M29">
        <f t="shared" si="5"/>
        <v>0</v>
      </c>
      <c r="N29">
        <f t="shared" si="5"/>
        <v>0</v>
      </c>
      <c r="O29">
        <f t="shared" si="6"/>
        <v>0</v>
      </c>
    </row>
    <row r="30" spans="1:15">
      <c r="A30">
        <v>25</v>
      </c>
      <c r="B30" t="s">
        <v>883</v>
      </c>
      <c r="C30">
        <f t="shared" si="2"/>
        <v>0</v>
      </c>
      <c r="D30" t="str">
        <f t="shared" si="7"/>
        <v> 210х297 (А4)</v>
      </c>
      <c r="E30">
        <f t="shared" si="3"/>
        <v>0</v>
      </c>
      <c r="F30" t="str">
        <f t="shared" si="8"/>
        <v>Цветной</v>
      </c>
      <c r="G30" t="str">
        <f t="shared" si="8"/>
        <v>Нет</v>
      </c>
      <c r="H30">
        <f t="shared" si="8"/>
        <v>100</v>
      </c>
      <c r="I30">
        <f t="shared" si="4"/>
        <v>0</v>
      </c>
      <c r="J30">
        <f t="shared" si="5"/>
        <v>0</v>
      </c>
      <c r="K30">
        <f t="shared" si="5"/>
        <v>0</v>
      </c>
      <c r="L30">
        <f t="shared" si="5"/>
        <v>0</v>
      </c>
      <c r="M30">
        <f t="shared" si="5"/>
        <v>0</v>
      </c>
      <c r="N30">
        <f t="shared" si="5"/>
        <v>0</v>
      </c>
      <c r="O30">
        <f t="shared" si="6"/>
        <v>0</v>
      </c>
    </row>
    <row r="31" spans="1:15">
      <c r="A31">
        <v>26</v>
      </c>
      <c r="B31" t="s">
        <v>883</v>
      </c>
      <c r="C31">
        <f t="shared" si="2"/>
        <v>0</v>
      </c>
      <c r="D31" t="str">
        <f t="shared" si="7"/>
        <v> 210х297 (А4)</v>
      </c>
      <c r="E31">
        <f t="shared" si="3"/>
        <v>0</v>
      </c>
      <c r="F31" t="str">
        <f t="shared" si="8"/>
        <v>Цветной</v>
      </c>
      <c r="G31" t="str">
        <f t="shared" si="8"/>
        <v>Нет</v>
      </c>
      <c r="H31">
        <f t="shared" si="8"/>
        <v>100</v>
      </c>
      <c r="I31">
        <f t="shared" si="4"/>
        <v>0</v>
      </c>
      <c r="J31">
        <f t="shared" si="5"/>
        <v>0</v>
      </c>
      <c r="K31">
        <f t="shared" si="5"/>
        <v>0</v>
      </c>
      <c r="L31">
        <f t="shared" si="5"/>
        <v>0</v>
      </c>
      <c r="M31">
        <f t="shared" si="5"/>
        <v>0</v>
      </c>
      <c r="N31">
        <f t="shared" si="5"/>
        <v>0</v>
      </c>
      <c r="O31">
        <f t="shared" si="6"/>
        <v>0</v>
      </c>
    </row>
    <row r="32" spans="1:15">
      <c r="A32">
        <v>27</v>
      </c>
      <c r="B32" t="s">
        <v>883</v>
      </c>
      <c r="C32">
        <f t="shared" si="2"/>
        <v>0</v>
      </c>
      <c r="D32" t="str">
        <f t="shared" si="7"/>
        <v> 210х297 (А4)</v>
      </c>
      <c r="E32">
        <f t="shared" si="3"/>
        <v>0</v>
      </c>
      <c r="F32" t="str">
        <f t="shared" si="8"/>
        <v>Цветной</v>
      </c>
      <c r="G32" t="str">
        <f t="shared" si="8"/>
        <v>Нет</v>
      </c>
      <c r="H32">
        <f t="shared" si="8"/>
        <v>100</v>
      </c>
      <c r="I32">
        <f t="shared" si="4"/>
        <v>0</v>
      </c>
      <c r="J32">
        <f t="shared" si="5"/>
        <v>0</v>
      </c>
      <c r="K32">
        <f t="shared" si="5"/>
        <v>0</v>
      </c>
      <c r="L32">
        <f t="shared" si="5"/>
        <v>0</v>
      </c>
      <c r="M32">
        <f t="shared" si="5"/>
        <v>0</v>
      </c>
      <c r="N32">
        <f t="shared" si="5"/>
        <v>0</v>
      </c>
      <c r="O32">
        <f t="shared" si="6"/>
        <v>0</v>
      </c>
    </row>
    <row r="102" spans="2:6">
      <c r="B102">
        <f>SUM(B103:B109)</f>
        <v>110</v>
      </c>
      <c r="D102" s="3" t="str">
        <f>Резка!I2</f>
        <v>Толщина бумаги мкм</v>
      </c>
      <c r="F102">
        <v>4</v>
      </c>
    </row>
    <row r="103" spans="2:6">
      <c r="B103">
        <f>IF(Настройки!$B$13=C103,D103,0)</f>
        <v>110</v>
      </c>
      <c r="C103" t="str">
        <f>Резка!H3</f>
        <v>ОБЫЧНЫЙ</v>
      </c>
      <c r="D103">
        <f>Резка!I3</f>
        <v>110</v>
      </c>
      <c r="F103">
        <v>8</v>
      </c>
    </row>
    <row r="104" spans="2:6">
      <c r="B104">
        <f>IF(Настройки!$B$13=C104,D104,0)</f>
        <v>0</v>
      </c>
      <c r="C104" t="str">
        <f>Резка!H4</f>
        <v>глянец 130 гр.</v>
      </c>
      <c r="D104">
        <f>Резка!I4</f>
        <v>166</v>
      </c>
      <c r="F104">
        <v>12</v>
      </c>
    </row>
    <row r="105" spans="2:6">
      <c r="B105">
        <f>IF(Настройки!$B$13=C105,D105,0)</f>
        <v>0</v>
      </c>
      <c r="C105" t="str">
        <f>Резка!H5</f>
        <v>офсет 130 гр.</v>
      </c>
      <c r="D105">
        <f>Резка!I5</f>
        <v>150</v>
      </c>
      <c r="F105">
        <v>16</v>
      </c>
    </row>
    <row r="106" spans="2:6">
      <c r="B106">
        <f>IF(Настройки!$B$13=C106,D106,0)</f>
        <v>0</v>
      </c>
      <c r="C106" t="str">
        <f>Резка!H6</f>
        <v>ТОЛСТЫЙ2</v>
      </c>
      <c r="D106">
        <f>Резка!I6</f>
        <v>196</v>
      </c>
      <c r="F106">
        <v>20</v>
      </c>
    </row>
    <row r="107" spans="2:6">
      <c r="B107">
        <f>IF(Настройки!$B$13=C107,D107,0)</f>
        <v>0</v>
      </c>
      <c r="C107" t="str">
        <f>Резка!H7</f>
        <v>офсет 170 гр.</v>
      </c>
      <c r="D107">
        <f>Резка!I7</f>
        <v>200</v>
      </c>
      <c r="F107">
        <v>24</v>
      </c>
    </row>
    <row r="108" spans="2:6">
      <c r="B108">
        <f>IF(Настройки!$B$13=C108,D108,0)</f>
        <v>0</v>
      </c>
      <c r="C108" t="str">
        <f>Резка!H8</f>
        <v>ТОЛСТЫЙ4</v>
      </c>
      <c r="D108">
        <f>Резка!I8</f>
        <v>350</v>
      </c>
      <c r="F108">
        <v>28</v>
      </c>
    </row>
    <row r="109" spans="2:6">
      <c r="B109">
        <f>IF(Настройки!$B$13=C109,D109,0)</f>
        <v>0</v>
      </c>
      <c r="C109" t="str">
        <f>Резка!H9</f>
        <v>офсет 300</v>
      </c>
      <c r="D109">
        <f>Резка!I9</f>
        <v>400</v>
      </c>
      <c r="F109">
        <v>32</v>
      </c>
    </row>
    <row r="110" spans="2:6">
      <c r="F110">
        <v>36</v>
      </c>
    </row>
    <row r="111" spans="2:6">
      <c r="F111">
        <v>40</v>
      </c>
    </row>
    <row r="112" spans="2:6">
      <c r="F112">
        <v>44</v>
      </c>
    </row>
    <row r="113" spans="6:6">
      <c r="F113">
        <v>48</v>
      </c>
    </row>
    <row r="114" spans="6:6">
      <c r="F114">
        <v>52</v>
      </c>
    </row>
    <row r="115" spans="6:6">
      <c r="F115">
        <v>56</v>
      </c>
    </row>
    <row r="116" spans="6:6">
      <c r="F116">
        <v>60</v>
      </c>
    </row>
    <row r="117" spans="6:6">
      <c r="F117">
        <v>64</v>
      </c>
    </row>
    <row r="118" spans="6:6">
      <c r="F118">
        <v>68</v>
      </c>
    </row>
    <row r="119" spans="6:6">
      <c r="F119">
        <v>72</v>
      </c>
    </row>
    <row r="120" spans="6:6">
      <c r="F120">
        <v>76</v>
      </c>
    </row>
    <row r="121" spans="6:6">
      <c r="F121">
        <v>80</v>
      </c>
    </row>
    <row r="122" spans="6:6">
      <c r="F122">
        <v>84</v>
      </c>
    </row>
    <row r="123" spans="6:6">
      <c r="F123">
        <v>88</v>
      </c>
    </row>
    <row r="124" spans="6:6">
      <c r="F124">
        <v>92</v>
      </c>
    </row>
    <row r="125" spans="6:6">
      <c r="F125">
        <v>96</v>
      </c>
    </row>
    <row r="126" spans="6:6">
      <c r="F126">
        <v>100</v>
      </c>
    </row>
    <row r="127" spans="6:6">
      <c r="F127">
        <v>104</v>
      </c>
    </row>
    <row r="128" spans="6:6">
      <c r="F128">
        <v>108</v>
      </c>
    </row>
    <row r="129" spans="6:6">
      <c r="F129">
        <v>112</v>
      </c>
    </row>
  </sheetData>
  <dataValidations count="1">
    <dataValidation type="list" allowBlank="1" showInputMessage="1" showErrorMessage="1" sqref="C1">
      <formula1>$F$102:$F$129</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O39"/>
  <sheetViews>
    <sheetView workbookViewId="0">
      <selection activeCell="C34" sqref="C34"/>
    </sheetView>
  </sheetViews>
  <sheetFormatPr defaultRowHeight="15"/>
  <cols>
    <col min="1" max="1" width="25.28515625" customWidth="1"/>
  </cols>
  <sheetData>
    <row r="1" spans="1:15">
      <c r="A1" s="72" t="s">
        <v>1245</v>
      </c>
    </row>
    <row r="2" spans="1:15">
      <c r="A2" s="72" t="s">
        <v>1246</v>
      </c>
    </row>
    <row r="3" spans="1:15">
      <c r="A3" s="72" t="s">
        <v>1247</v>
      </c>
    </row>
    <row r="4" spans="1:15" ht="21">
      <c r="A4" s="272">
        <v>1</v>
      </c>
      <c r="B4" s="272" t="s">
        <v>722</v>
      </c>
    </row>
    <row r="5" spans="1:15" ht="18.75" thickBot="1">
      <c r="A5" s="265" t="s">
        <v>1235</v>
      </c>
    </row>
    <row r="6" spans="1:15" ht="15.75" thickBot="1">
      <c r="A6" s="337" t="s">
        <v>1236</v>
      </c>
      <c r="B6" s="338"/>
      <c r="C6" s="266">
        <v>500</v>
      </c>
      <c r="D6" s="267">
        <v>1000</v>
      </c>
      <c r="E6" s="267">
        <v>2000</v>
      </c>
      <c r="F6" s="267">
        <v>3000</v>
      </c>
      <c r="G6" s="267">
        <v>4000</v>
      </c>
      <c r="H6" s="267">
        <v>5000</v>
      </c>
      <c r="I6" s="267">
        <v>6000</v>
      </c>
      <c r="J6" s="267">
        <v>8000</v>
      </c>
      <c r="K6" s="267">
        <v>10000</v>
      </c>
      <c r="L6" s="267">
        <v>20000</v>
      </c>
    </row>
    <row r="7" spans="1:15" ht="32.25" customHeight="1" thickBot="1">
      <c r="A7" s="268" t="s">
        <v>1238</v>
      </c>
      <c r="B7" s="269" t="s">
        <v>644</v>
      </c>
      <c r="C7" s="269">
        <f>CEILING(Офсет!AA77*Настройки!$T$16,Настройки!$Q$15)</f>
        <v>6900</v>
      </c>
      <c r="D7" s="269">
        <f>CEILING(Офсет!AB77*Настройки!$T$16,Настройки!$Q$15)</f>
        <v>8900</v>
      </c>
      <c r="E7" s="269">
        <f>CEILING(Офсет!AC77*Настройки!$T$16,Настройки!$Q$15)</f>
        <v>13150</v>
      </c>
      <c r="F7" s="269">
        <f>CEILING(Офсет!AD77*Настройки!$U$16,Настройки!$Q$15)</f>
        <v>17100</v>
      </c>
      <c r="G7" s="269">
        <f>CEILING(Офсет!AE77*Настройки!$U$16,Настройки!$Q$15)</f>
        <v>19750</v>
      </c>
      <c r="H7" s="269">
        <f>CEILING(Офсет!AF77*Настройки!$U$16,Настройки!$Q$15)</f>
        <v>26500</v>
      </c>
      <c r="I7" s="269">
        <f>CEILING(Офсет!AG77*Настройки!$U$16,Настройки!$Q$15)</f>
        <v>29450</v>
      </c>
      <c r="J7" s="269">
        <f>CEILING(Офсет!AH77*Настройки!$U$16,Настройки!$Q$15)</f>
        <v>35400</v>
      </c>
      <c r="K7" s="269">
        <f>CEILING(Офсет!AI77*Настройки!$V$16,Настройки!$Q$15)</f>
        <v>39100</v>
      </c>
      <c r="L7" s="269">
        <f>CEILING(Офсет!AJ77*Настройки!$V$16,Настройки!$Q$15)</f>
        <v>78200</v>
      </c>
    </row>
    <row r="8" spans="1:15">
      <c r="A8" s="72"/>
    </row>
    <row r="9" spans="1:15" ht="21">
      <c r="A9" s="272">
        <v>2</v>
      </c>
      <c r="B9" s="272" t="s">
        <v>411</v>
      </c>
    </row>
    <row r="10" spans="1:15">
      <c r="A10" s="72" t="s">
        <v>1239</v>
      </c>
      <c r="B10" s="72" t="s">
        <v>343</v>
      </c>
      <c r="C10" s="72" t="s">
        <v>545</v>
      </c>
      <c r="D10" s="72" t="s">
        <v>378</v>
      </c>
      <c r="E10" s="72" t="s">
        <v>174</v>
      </c>
    </row>
    <row r="11" spans="1:15">
      <c r="A11" s="72"/>
      <c r="B11">
        <v>1</v>
      </c>
      <c r="C11">
        <v>1</v>
      </c>
      <c r="D11">
        <f>B11*C11</f>
        <v>1</v>
      </c>
      <c r="E11">
        <f>((D11*CEILING('Стоимость за кв.м.'!$E$9/'Стоимость за кв.м.'!$K$5*'Стоимость за кв.м.'!$K$1,5))*Настройки!$O$5)+((3.2-C11)*B11*'Размеры и перерасход'!$K$15)</f>
        <v>766</v>
      </c>
    </row>
    <row r="12" spans="1:15">
      <c r="A12" s="72"/>
      <c r="B12">
        <v>1</v>
      </c>
      <c r="C12">
        <v>2</v>
      </c>
      <c r="D12">
        <f>B12*C12</f>
        <v>2</v>
      </c>
      <c r="E12">
        <f>((D12*CEILING('Стоимость за кв.м.'!$E$9/'Стоимость за кв.м.'!$K$5*'Стоимость за кв.м.'!$K$1,5))*Настройки!$O$5)+((3.2-C12)*B12*'Размеры и перерасход'!$K$15)</f>
        <v>956</v>
      </c>
    </row>
    <row r="13" spans="1:15">
      <c r="A13" s="72"/>
      <c r="B13">
        <v>6</v>
      </c>
      <c r="C13">
        <v>1</v>
      </c>
      <c r="D13">
        <f>B13*C13</f>
        <v>6</v>
      </c>
      <c r="E13">
        <f>((D13*CEILING('Стоимость за кв.м.'!$E$9/'Стоимость за кв.м.'!$K$5*'Стоимость за кв.м.'!$K$1,5))*Настройки!$O$5)+((3.2-C13)*B13*'Размеры и перерасход'!$K$15)</f>
        <v>4596</v>
      </c>
    </row>
    <row r="14" spans="1:15">
      <c r="A14" s="72" t="s">
        <v>1240</v>
      </c>
      <c r="N14">
        <v>3</v>
      </c>
      <c r="O14" t="s">
        <v>723</v>
      </c>
    </row>
    <row r="15" spans="1:15">
      <c r="A15" s="72"/>
      <c r="N15">
        <v>4</v>
      </c>
      <c r="O15" t="s">
        <v>724</v>
      </c>
    </row>
    <row r="16" spans="1:15" ht="26.25" customHeight="1" thickBot="1">
      <c r="A16" s="273">
        <v>8</v>
      </c>
      <c r="B16" s="272" t="s">
        <v>728</v>
      </c>
      <c r="N16">
        <v>5</v>
      </c>
      <c r="O16" t="s">
        <v>725</v>
      </c>
    </row>
    <row r="17" spans="1:15" ht="17.25" thickBot="1">
      <c r="A17" s="339" t="s">
        <v>459</v>
      </c>
      <c r="B17" s="340"/>
      <c r="C17" s="340"/>
      <c r="D17" s="340"/>
      <c r="E17" s="340"/>
      <c r="F17" s="340"/>
      <c r="G17" s="340"/>
      <c r="H17" s="340"/>
      <c r="I17" s="340"/>
      <c r="J17" s="341"/>
      <c r="N17">
        <v>6</v>
      </c>
      <c r="O17" t="s">
        <v>726</v>
      </c>
    </row>
    <row r="18" spans="1:15" ht="15.75" thickBot="1">
      <c r="A18" s="342" t="s">
        <v>460</v>
      </c>
      <c r="B18" s="344" t="s">
        <v>1234</v>
      </c>
      <c r="C18" s="345"/>
      <c r="D18" s="345"/>
      <c r="E18" s="345"/>
      <c r="F18" s="345"/>
      <c r="G18" s="345"/>
      <c r="H18" s="345"/>
      <c r="I18" s="345"/>
      <c r="J18" s="346"/>
      <c r="N18">
        <v>7</v>
      </c>
      <c r="O18" t="s">
        <v>727</v>
      </c>
    </row>
    <row r="19" spans="1:15" ht="15.75" thickBot="1">
      <c r="A19" s="343"/>
      <c r="B19" s="263">
        <f>Настройки!B27</f>
        <v>48</v>
      </c>
      <c r="C19" s="263">
        <f>Настройки!C27</f>
        <v>96</v>
      </c>
      <c r="D19" s="263">
        <f>Настройки!D27</f>
        <v>192</v>
      </c>
      <c r="E19" s="263">
        <f>Настройки!E27</f>
        <v>480</v>
      </c>
      <c r="F19" s="263">
        <f>Настройки!F27</f>
        <v>576</v>
      </c>
      <c r="G19" s="263">
        <f>Настройки!G27</f>
        <v>768</v>
      </c>
      <c r="H19" s="263">
        <f>Настройки!H27</f>
        <v>864</v>
      </c>
      <c r="I19" s="263">
        <f>Настройки!I27</f>
        <v>960</v>
      </c>
      <c r="J19" s="263">
        <f>Настройки!J27</f>
        <v>1440</v>
      </c>
    </row>
    <row r="20" spans="1:15" ht="15.75" thickBot="1">
      <c r="A20" s="264" t="s">
        <v>462</v>
      </c>
      <c r="B20" s="263">
        <f>Настройки!B28</f>
        <v>240</v>
      </c>
      <c r="C20" s="263">
        <f>Настройки!C28</f>
        <v>350</v>
      </c>
      <c r="D20" s="263">
        <f>Настройки!D28</f>
        <v>300</v>
      </c>
      <c r="E20" s="263">
        <f>Настройки!E28</f>
        <v>249</v>
      </c>
      <c r="F20" s="263">
        <f>Настройки!F28</f>
        <v>243</v>
      </c>
      <c r="G20" s="263">
        <f>Настройки!G28</f>
        <v>220</v>
      </c>
      <c r="H20" s="263">
        <f>Настройки!H28</f>
        <v>215</v>
      </c>
      <c r="I20" s="263">
        <f>Настройки!I28</f>
        <v>215</v>
      </c>
      <c r="J20" s="263">
        <f>Настройки!J28</f>
        <v>200</v>
      </c>
    </row>
    <row r="21" spans="1:15" ht="15.75" thickBot="1">
      <c r="A21" s="92" t="s">
        <v>463</v>
      </c>
      <c r="B21" s="90">
        <f>Настройки!B29</f>
        <v>250</v>
      </c>
      <c r="C21" s="90">
        <f>Настройки!C29</f>
        <v>510</v>
      </c>
      <c r="D21" s="90">
        <f>Настройки!D29</f>
        <v>435</v>
      </c>
      <c r="E21" s="90">
        <f>Настройки!E29</f>
        <v>361</v>
      </c>
      <c r="F21" s="90">
        <f>Настройки!F29</f>
        <v>351</v>
      </c>
      <c r="G21" s="90">
        <f>Настройки!G29</f>
        <v>320</v>
      </c>
      <c r="H21" s="90">
        <f>Настройки!H29</f>
        <v>310</v>
      </c>
      <c r="I21" s="90">
        <f>Настройки!I29</f>
        <v>310</v>
      </c>
      <c r="J21" s="90">
        <f>Настройки!J29</f>
        <v>290</v>
      </c>
    </row>
    <row r="22" spans="1:15" ht="15.75" thickBot="1">
      <c r="A22" s="264" t="s">
        <v>464</v>
      </c>
      <c r="B22" s="263">
        <f>Настройки!B30</f>
        <v>280</v>
      </c>
      <c r="C22" s="263">
        <f>Настройки!C30</f>
        <v>410</v>
      </c>
      <c r="D22" s="263">
        <f>Настройки!D30</f>
        <v>350</v>
      </c>
      <c r="E22" s="263">
        <f>Настройки!E30</f>
        <v>300</v>
      </c>
      <c r="F22" s="263">
        <f>Настройки!F30</f>
        <v>283</v>
      </c>
      <c r="G22" s="263">
        <f>Настройки!G30</f>
        <v>260</v>
      </c>
      <c r="H22" s="263">
        <f>Настройки!H30</f>
        <v>260</v>
      </c>
      <c r="I22" s="263">
        <f>Настройки!I30</f>
        <v>250</v>
      </c>
      <c r="J22" s="263">
        <f>Настройки!J30</f>
        <v>240</v>
      </c>
    </row>
    <row r="23" spans="1:15" ht="15.75" thickBot="1">
      <c r="A23" s="92" t="s">
        <v>465</v>
      </c>
      <c r="B23" s="90">
        <f>Настройки!B31</f>
        <v>420</v>
      </c>
      <c r="C23" s="90">
        <f>Настройки!C31</f>
        <v>640</v>
      </c>
      <c r="D23" s="90">
        <f>Настройки!D31</f>
        <v>520</v>
      </c>
      <c r="E23" s="90">
        <f>Настройки!E31</f>
        <v>441</v>
      </c>
      <c r="F23" s="90">
        <f>Настройки!F31</f>
        <v>460</v>
      </c>
      <c r="G23" s="90">
        <f>Настройки!G31</f>
        <v>400</v>
      </c>
      <c r="H23" s="90">
        <f>Настройки!H31</f>
        <v>400</v>
      </c>
      <c r="I23" s="90">
        <f>Настройки!I31</f>
        <v>390</v>
      </c>
      <c r="J23" s="90">
        <f>Настройки!J31</f>
        <v>360</v>
      </c>
    </row>
    <row r="24" spans="1:15">
      <c r="A24" t="s">
        <v>1237</v>
      </c>
    </row>
    <row r="27" spans="1:15" ht="18.75" thickBot="1">
      <c r="A27" s="265" t="s">
        <v>1235</v>
      </c>
    </row>
    <row r="28" spans="1:15" ht="15.75" thickBot="1">
      <c r="A28" s="337" t="s">
        <v>1236</v>
      </c>
      <c r="B28" s="338"/>
      <c r="C28" s="266">
        <v>500</v>
      </c>
      <c r="D28" s="267">
        <v>1000</v>
      </c>
      <c r="E28" s="267">
        <v>2000</v>
      </c>
      <c r="F28" s="267">
        <v>3000</v>
      </c>
      <c r="G28" s="267">
        <v>4000</v>
      </c>
      <c r="H28" s="267">
        <v>5000</v>
      </c>
      <c r="I28" s="267">
        <v>6000</v>
      </c>
      <c r="J28" s="267">
        <v>8000</v>
      </c>
      <c r="K28" s="267">
        <v>10000</v>
      </c>
      <c r="L28" s="267">
        <v>20000</v>
      </c>
    </row>
    <row r="29" spans="1:15" ht="15.75" thickBot="1">
      <c r="A29" s="268" t="s">
        <v>663</v>
      </c>
      <c r="B29" s="269" t="s">
        <v>644</v>
      </c>
      <c r="C29" s="269">
        <f>CEILING(Офсет!AA67*Настройки!$T$16,Настройки!$Q$15)</f>
        <v>2200</v>
      </c>
      <c r="D29" s="269">
        <f>CEILING(Офсет!AB67*Настройки!$T$16,Настройки!$Q$15)</f>
        <v>2450</v>
      </c>
      <c r="E29" s="269">
        <f>CEILING(Офсет!AC67*Настройки!$T$16,Настройки!$Q$15)</f>
        <v>3600</v>
      </c>
      <c r="F29" s="269">
        <f>CEILING(Офсет!AD67*Настройки!$U$16,Настройки!$Q$15)</f>
        <v>5250</v>
      </c>
      <c r="G29" s="269">
        <f>CEILING(Офсет!AE67*Настройки!$U$16,Настройки!$Q$15)</f>
        <v>6300</v>
      </c>
      <c r="H29" s="269">
        <f>CEILING(Офсет!AF67*Настройки!$U$16,Настройки!$Q$15)</f>
        <v>9050</v>
      </c>
      <c r="I29" s="269">
        <f>CEILING(Офсет!AG67*Настройки!$U$16,Настройки!$Q$15)</f>
        <v>10450</v>
      </c>
      <c r="J29" s="269">
        <f>CEILING(Офсет!AH67*Настройки!$U$16,Настройки!$Q$15)</f>
        <v>13200</v>
      </c>
      <c r="K29" s="269">
        <f>CEILING(Офсет!AI67*Настройки!$V$16,Настройки!$Q$15)</f>
        <v>15100</v>
      </c>
      <c r="L29" s="269">
        <f>CEILING(Офсет!AJ67*Настройки!$V$16,Настройки!$Q$15)</f>
        <v>30150</v>
      </c>
    </row>
    <row r="30" spans="1:15" ht="15.75" thickBot="1">
      <c r="A30" s="270"/>
      <c r="B30" s="271" t="s">
        <v>646</v>
      </c>
      <c r="C30" s="269">
        <f>CEILING(Офсет!AA68*Настройки!$T$16,Настройки!$Q$15)</f>
        <v>1700</v>
      </c>
      <c r="D30" s="269">
        <f>CEILING(Офсет!AB68*Настройки!$T$16,Настройки!$Q$15)</f>
        <v>2050</v>
      </c>
      <c r="E30" s="269">
        <f>CEILING(Офсет!AC68*Настройки!$T$16,Настройки!$Q$15)</f>
        <v>3100</v>
      </c>
      <c r="F30" s="269">
        <f>CEILING(Офсет!AD68*Настройки!$U$16,Настройки!$Q$15)</f>
        <v>4400</v>
      </c>
      <c r="G30" s="269">
        <f>CEILING(Офсет!AE68*Настройки!$U$16,Настройки!$Q$15)</f>
        <v>5350</v>
      </c>
      <c r="H30" s="269">
        <f>CEILING(Офсет!AF68*Настройки!$U$16,Настройки!$Q$15)</f>
        <v>7600</v>
      </c>
      <c r="I30" s="269">
        <f>CEILING(Офсет!AG68*Настройки!$U$16,Настройки!$Q$15)</f>
        <v>8650</v>
      </c>
      <c r="J30" s="269">
        <f>CEILING(Офсет!AH68*Настройки!$U$16,Настройки!$Q$15)</f>
        <v>10700</v>
      </c>
      <c r="K30" s="269">
        <f>CEILING(Офсет!AI68*Настройки!$V$16,Настройки!$Q$15)</f>
        <v>12100</v>
      </c>
      <c r="L30" s="269">
        <f>CEILING(Офсет!AJ68*Настройки!$V$16,Настройки!$Q$15)</f>
        <v>24150</v>
      </c>
    </row>
    <row r="32" spans="1:15" ht="15.75" thickBot="1"/>
    <row r="33" spans="1:15" ht="15.75" thickBot="1">
      <c r="A33" s="279" t="s">
        <v>1252</v>
      </c>
      <c r="B33" s="280">
        <v>50</v>
      </c>
      <c r="C33" s="280">
        <v>100</v>
      </c>
      <c r="D33" s="280">
        <v>200</v>
      </c>
      <c r="E33" s="280">
        <v>500</v>
      </c>
      <c r="F33" s="280">
        <v>1000</v>
      </c>
      <c r="G33" s="280">
        <v>3000</v>
      </c>
      <c r="H33" s="280">
        <v>5000</v>
      </c>
      <c r="I33" s="280">
        <v>10000</v>
      </c>
      <c r="N33">
        <v>9</v>
      </c>
      <c r="O33" t="s">
        <v>729</v>
      </c>
    </row>
    <row r="34" spans="1:15" ht="27" thickBot="1">
      <c r="A34" s="281" t="s">
        <v>1253</v>
      </c>
      <c r="B34" s="282">
        <v>27</v>
      </c>
      <c r="C34" s="282">
        <v>23</v>
      </c>
      <c r="D34" s="282">
        <v>15</v>
      </c>
      <c r="E34" s="282">
        <v>12</v>
      </c>
      <c r="F34" s="282">
        <v>9</v>
      </c>
      <c r="G34" s="282">
        <v>8.5</v>
      </c>
      <c r="H34" s="282">
        <v>7.5</v>
      </c>
      <c r="I34" s="282">
        <v>7</v>
      </c>
      <c r="N34">
        <v>10</v>
      </c>
      <c r="O34" t="s">
        <v>730</v>
      </c>
    </row>
    <row r="35" spans="1:15" ht="27" thickBot="1">
      <c r="A35" s="281" t="s">
        <v>1254</v>
      </c>
      <c r="B35" s="282">
        <v>30</v>
      </c>
      <c r="C35" s="282">
        <v>27</v>
      </c>
      <c r="D35" s="282">
        <v>22.5</v>
      </c>
      <c r="E35" s="282">
        <v>15</v>
      </c>
      <c r="F35" s="282">
        <v>10.5</v>
      </c>
      <c r="G35" s="282">
        <v>9</v>
      </c>
      <c r="H35" s="282">
        <v>8.5</v>
      </c>
      <c r="I35" s="282">
        <v>7.5</v>
      </c>
      <c r="N35">
        <v>11</v>
      </c>
      <c r="O35" t="s">
        <v>746</v>
      </c>
    </row>
    <row r="36" spans="1:15" ht="27" thickBot="1">
      <c r="A36" s="281" t="s">
        <v>1255</v>
      </c>
      <c r="B36" s="282">
        <v>6</v>
      </c>
      <c r="C36" s="282">
        <v>4.5</v>
      </c>
      <c r="D36" s="282">
        <v>4.5</v>
      </c>
      <c r="E36" s="282">
        <v>3</v>
      </c>
      <c r="F36" s="282">
        <v>3.8</v>
      </c>
      <c r="G36" s="282">
        <v>3</v>
      </c>
      <c r="H36" s="282">
        <v>2.5</v>
      </c>
      <c r="I36" s="282">
        <v>2.5</v>
      </c>
      <c r="N36">
        <v>12</v>
      </c>
      <c r="O36" t="s">
        <v>891</v>
      </c>
    </row>
    <row r="37" spans="1:15" ht="39.75" thickBot="1">
      <c r="A37" s="281" t="s">
        <v>1256</v>
      </c>
      <c r="B37" s="282">
        <v>6</v>
      </c>
      <c r="C37" s="282">
        <v>6</v>
      </c>
      <c r="D37" s="282">
        <v>6</v>
      </c>
      <c r="E37" s="282">
        <v>4.5</v>
      </c>
      <c r="F37" s="282">
        <v>4</v>
      </c>
      <c r="G37" s="282">
        <v>3</v>
      </c>
      <c r="H37" s="282">
        <v>2.5</v>
      </c>
      <c r="I37" s="282">
        <v>2.5</v>
      </c>
    </row>
    <row r="38" spans="1:15" ht="15.75" thickBot="1">
      <c r="A38" s="281" t="s">
        <v>1257</v>
      </c>
      <c r="B38" s="282">
        <v>5</v>
      </c>
      <c r="C38" s="282">
        <v>4.5</v>
      </c>
      <c r="D38" s="282">
        <v>4.5</v>
      </c>
      <c r="E38" s="282">
        <v>4.5</v>
      </c>
      <c r="F38" s="282">
        <v>4.5</v>
      </c>
      <c r="G38" s="282">
        <v>3</v>
      </c>
      <c r="H38" s="282">
        <v>3</v>
      </c>
      <c r="I38" s="282">
        <v>3</v>
      </c>
    </row>
    <row r="39" spans="1:15" ht="27" thickBot="1">
      <c r="A39" s="281" t="s">
        <v>1258</v>
      </c>
      <c r="B39" s="282">
        <v>6</v>
      </c>
      <c r="C39" s="282">
        <v>6</v>
      </c>
      <c r="D39" s="282">
        <v>6</v>
      </c>
      <c r="E39" s="282">
        <v>4.5</v>
      </c>
      <c r="F39" s="282">
        <v>4.5</v>
      </c>
      <c r="G39" s="282">
        <v>3</v>
      </c>
      <c r="H39" s="282">
        <v>3</v>
      </c>
      <c r="I39" s="282">
        <v>3</v>
      </c>
    </row>
  </sheetData>
  <mergeCells count="5">
    <mergeCell ref="A6:B6"/>
    <mergeCell ref="A17:J17"/>
    <mergeCell ref="A18:A19"/>
    <mergeCell ref="B18:J18"/>
    <mergeCell ref="A28:B28"/>
  </mergeCells>
  <pageMargins left="0.39370078740157483" right="0.39370078740157483" top="0.39370078740157483" bottom="0.39370078740157483" header="0" footer="0"/>
  <pageSetup paperSize="9" scale="85" orientation="portrait" r:id="rId1"/>
</worksheet>
</file>

<file path=xl/worksheets/sheet4.xml><?xml version="1.0" encoding="utf-8"?>
<worksheet xmlns="http://schemas.openxmlformats.org/spreadsheetml/2006/main" xmlns:r="http://schemas.openxmlformats.org/officeDocument/2006/relationships">
  <dimension ref="A1:AO209"/>
  <sheetViews>
    <sheetView tabSelected="1" zoomScale="90" zoomScaleNormal="90" zoomScaleSheetLayoutView="90" workbookViewId="0">
      <selection activeCell="E5" sqref="E5"/>
    </sheetView>
  </sheetViews>
  <sheetFormatPr defaultRowHeight="15"/>
  <cols>
    <col min="1" max="1" width="17" customWidth="1"/>
    <col min="2" max="2" width="19.140625" customWidth="1"/>
    <col min="3" max="3" width="16.7109375" customWidth="1"/>
    <col min="4" max="4" width="10.7109375" customWidth="1"/>
    <col min="5" max="5" width="16" customWidth="1"/>
    <col min="6" max="6" width="12" customWidth="1"/>
    <col min="7" max="7" width="11.5703125" customWidth="1"/>
    <col min="8" max="8" width="13.85546875" customWidth="1"/>
    <col min="9" max="9" width="14.5703125" customWidth="1"/>
    <col min="10" max="10" width="11.7109375" customWidth="1"/>
    <col min="11" max="11" width="16" customWidth="1"/>
    <col min="13" max="13" width="24.42578125" customWidth="1"/>
    <col min="19" max="41" width="9.140625" style="180"/>
  </cols>
  <sheetData>
    <row r="1" spans="1:24" ht="22.5" thickTop="1" thickBot="1">
      <c r="A1" s="189" t="s">
        <v>747</v>
      </c>
      <c r="B1" s="7"/>
      <c r="C1" s="7"/>
      <c r="D1" s="7"/>
      <c r="E1" s="175" t="s">
        <v>680</v>
      </c>
      <c r="F1" s="7"/>
      <c r="G1" s="7"/>
      <c r="H1" s="7"/>
      <c r="I1" s="201" t="s">
        <v>1361</v>
      </c>
      <c r="J1" s="201" t="s">
        <v>1362</v>
      </c>
      <c r="L1" s="220" t="s">
        <v>999</v>
      </c>
    </row>
    <row r="2" spans="1:24" ht="16.5" thickTop="1" thickBot="1">
      <c r="A2" s="39" t="s">
        <v>283</v>
      </c>
      <c r="B2" s="1" t="s">
        <v>341</v>
      </c>
      <c r="C2" s="40" t="s">
        <v>285</v>
      </c>
      <c r="E2" s="1"/>
      <c r="F2" s="1" t="s">
        <v>301</v>
      </c>
      <c r="H2" s="60" t="s">
        <v>309</v>
      </c>
      <c r="I2" s="61">
        <f>CEILING(CEILING(IF(A5=A65, SUM(G9:G11)+30,SUM(G9:G11))+SUM(G12:G15),Настройки!K8)+J9+G16+SUM(A24:B24)+SUM(D24:H24),Настройки!K8)*IF(F5=I65,Настройки!O23,1)+K15</f>
        <v>1260</v>
      </c>
      <c r="J2" s="197">
        <f>CEILING(I2*1.04,10)</f>
        <v>1320</v>
      </c>
      <c r="V2" s="180" t="str">
        <f>I25</f>
        <v>№ 19 CURIOUS Matter</v>
      </c>
      <c r="W2">
        <f>SUM(U4:U115)</f>
        <v>19</v>
      </c>
    </row>
    <row r="3" spans="1:24" ht="16.5" thickTop="1" thickBot="1">
      <c r="A3" s="64">
        <v>100</v>
      </c>
      <c r="B3" s="65">
        <v>1</v>
      </c>
      <c r="C3" s="331" t="s">
        <v>293</v>
      </c>
      <c r="F3" s="66">
        <v>100</v>
      </c>
      <c r="H3" s="60" t="s">
        <v>310</v>
      </c>
      <c r="I3" s="63">
        <f>I2/I4</f>
        <v>12.6</v>
      </c>
      <c r="J3" s="63">
        <f>J2/J4</f>
        <v>13.2</v>
      </c>
      <c r="L3" t="str">
        <f>Себестоимости!A38</f>
        <v>№</v>
      </c>
      <c r="M3" t="str">
        <f>Себестоимости!B38</f>
        <v>Тип</v>
      </c>
      <c r="N3" t="str">
        <f>Себестоимости!C38</f>
        <v> Фактура</v>
      </c>
      <c r="O3">
        <f>Себестоимости!D38</f>
        <v>0</v>
      </c>
      <c r="P3" t="str">
        <f>Себестоимости!E38</f>
        <v xml:space="preserve">Цвет </v>
      </c>
      <c r="Q3" t="str">
        <f>Себестоимости!F38</f>
        <v>Пл</v>
      </c>
      <c r="V3" t="s">
        <v>93</v>
      </c>
    </row>
    <row r="4" spans="1:24" ht="16.5" thickTop="1" thickBot="1">
      <c r="A4" s="1" t="s">
        <v>284</v>
      </c>
      <c r="C4" s="1" t="s">
        <v>286</v>
      </c>
      <c r="E4" s="1" t="s">
        <v>320</v>
      </c>
      <c r="F4" s="1" t="s">
        <v>1172</v>
      </c>
      <c r="H4" s="60" t="s">
        <v>311</v>
      </c>
      <c r="I4" s="42">
        <f>IF(B3=C24,Форматы!O2,C24)</f>
        <v>100</v>
      </c>
      <c r="J4" s="42">
        <f>IF(B3=C24,Форматы!O2,C24)</f>
        <v>100</v>
      </c>
      <c r="L4">
        <f>Себестоимости!A39</f>
        <v>0</v>
      </c>
      <c r="M4" t="str">
        <f>Себестоимости!B39</f>
        <v>Colorcopy</v>
      </c>
      <c r="N4" t="str">
        <f>Себестоимости!C39</f>
        <v>Гладкий высоко белый (стандарт)</v>
      </c>
      <c r="O4">
        <f>Себестоимости!D39</f>
        <v>0</v>
      </c>
      <c r="P4" t="str">
        <f>Себестоимости!E39</f>
        <v xml:space="preserve">белый Матовый </v>
      </c>
      <c r="Q4">
        <f>Себестоимости!F39</f>
        <v>300</v>
      </c>
      <c r="U4" s="180">
        <f>IF($V$2=V4,W4,0)</f>
        <v>0</v>
      </c>
      <c r="V4" s="180" t="str">
        <f>CONCATENATE("№ ",W4," ",X4)</f>
        <v>№ 0 Colorcopy</v>
      </c>
      <c r="W4" s="180">
        <f>L4</f>
        <v>0</v>
      </c>
      <c r="X4" s="180" t="str">
        <f>M4</f>
        <v>Colorcopy</v>
      </c>
    </row>
    <row r="5" spans="1:24" ht="16.5" thickTop="1" thickBot="1">
      <c r="A5" s="66" t="s">
        <v>80</v>
      </c>
      <c r="B5" t="s">
        <v>1363</v>
      </c>
      <c r="C5" s="65" t="s">
        <v>142</v>
      </c>
      <c r="E5" s="66" t="s">
        <v>93</v>
      </c>
      <c r="F5" s="66" t="s">
        <v>93</v>
      </c>
      <c r="H5" s="201" t="s">
        <v>962</v>
      </c>
      <c r="I5" s="197">
        <f>'Услуги дизайна'!D2</f>
        <v>850</v>
      </c>
      <c r="J5" s="197">
        <f>'Услуги дизайна'!D2</f>
        <v>850</v>
      </c>
      <c r="K5" s="188" t="s">
        <v>934</v>
      </c>
      <c r="L5">
        <f>Себестоимости!A40</f>
        <v>1</v>
      </c>
      <c r="M5" t="str">
        <f>Себестоимости!B40</f>
        <v>Офсет Россия</v>
      </c>
      <c r="N5" t="str">
        <f>Себестоимости!C40</f>
        <v>Гладкий высоко белый (стандарт)</v>
      </c>
      <c r="O5">
        <f>Себестоимости!D40</f>
        <v>0</v>
      </c>
      <c r="P5" t="str">
        <f>Себестоимости!E40</f>
        <v>белый офсет</v>
      </c>
      <c r="Q5">
        <f>Себестоимости!F40</f>
        <v>160</v>
      </c>
      <c r="U5" s="180">
        <f t="shared" ref="U5:U27" si="0">IF($V$2=V5,W5,0)</f>
        <v>0</v>
      </c>
      <c r="V5" s="180" t="str">
        <f t="shared" ref="V5:V27" si="1">CONCATENATE("№ ",W5," ",X5)</f>
        <v>№ 1 Офсет Россия</v>
      </c>
      <c r="W5" s="180">
        <f t="shared" ref="W5:W27" si="2">L5</f>
        <v>1</v>
      </c>
      <c r="X5" s="180" t="str">
        <f t="shared" ref="X5:X27" si="3">M5</f>
        <v>Офсет Россия</v>
      </c>
    </row>
    <row r="6" spans="1:24" ht="15.75" customHeight="1" thickTop="1">
      <c r="A6" s="347" t="str">
        <f>CONCATENATE("ВАШ ЗАКАЗ: ",A5," ",A2,": ",I4," штук,"," печать с ",B3," мак., Цв.:",H95,"+",I95,", Бумага №",F3," - ",B9,", ",A19,", + ",D19," сложений вида: ",Себестоимости!Q37,", Перф: ",G19,", Ск.угл. :",I19," ",I20,", ",G97,J18," - ",K19,", Всего за ",I2," рублей")</f>
        <v>ВАШ ЗАКАЗ:  210х297 (А4) Тираж: 100 штук, печать с 1 мак., Цв.:4+0, Бумага №100 - Снегурочка, Без ламинации, + 0 сложений вида: фальц, Перф: 0, Ск.угл. :0 точно,  Магнитный слой - нет, Всего за 1260 рублей</v>
      </c>
      <c r="B6" s="347"/>
      <c r="C6" s="347"/>
      <c r="D6" s="347"/>
      <c r="E6" s="347"/>
      <c r="F6" s="347"/>
      <c r="G6" s="347"/>
      <c r="H6" s="347"/>
      <c r="I6" s="347"/>
      <c r="J6" s="347"/>
      <c r="L6">
        <f>Себестоимости!A41</f>
        <v>2</v>
      </c>
      <c r="M6" t="str">
        <f>Себестоимости!B41</f>
        <v>SAMIZDAT ПВХ Самоклейка 75гр</v>
      </c>
      <c r="N6" t="str">
        <f>Себестоимости!C41</f>
        <v>Гладкий матовый</v>
      </c>
      <c r="O6">
        <f>Себестоимости!D41</f>
        <v>0</v>
      </c>
      <c r="P6" t="str">
        <f>Себестоимости!E41</f>
        <v xml:space="preserve">белый Матовый </v>
      </c>
      <c r="Q6">
        <f>Себестоимости!F41</f>
        <v>210</v>
      </c>
      <c r="U6" s="180">
        <f t="shared" si="0"/>
        <v>0</v>
      </c>
      <c r="V6" s="180" t="str">
        <f t="shared" si="1"/>
        <v>№ 2 SAMIZDAT ПВХ Самоклейка 75гр</v>
      </c>
      <c r="W6" s="180">
        <f t="shared" si="2"/>
        <v>2</v>
      </c>
      <c r="X6" s="180" t="str">
        <f t="shared" si="3"/>
        <v>SAMIZDAT ПВХ Самоклейка 75гр</v>
      </c>
    </row>
    <row r="7" spans="1:24">
      <c r="A7" s="347"/>
      <c r="B7" s="347"/>
      <c r="C7" s="347"/>
      <c r="D7" s="347"/>
      <c r="E7" s="347"/>
      <c r="F7" s="347"/>
      <c r="G7" s="347"/>
      <c r="H7" s="347"/>
      <c r="I7" s="347"/>
      <c r="J7" s="347"/>
      <c r="L7">
        <f>Себестоимости!A42</f>
        <v>3</v>
      </c>
      <c r="M7" t="str">
        <f>Себестоимости!B42</f>
        <v>SAMIZDAT бумага Самоклейка 80</v>
      </c>
      <c r="N7" t="str">
        <f>Себестоимости!C42</f>
        <v>крафт</v>
      </c>
      <c r="O7">
        <f>Себестоимости!D42</f>
        <v>0</v>
      </c>
      <c r="P7" t="str">
        <f>Себестоимости!E42</f>
        <v>крафт</v>
      </c>
      <c r="Q7">
        <f>Себестоимости!F42</f>
        <v>215</v>
      </c>
      <c r="U7" s="180">
        <f t="shared" si="0"/>
        <v>0</v>
      </c>
      <c r="V7" s="180" t="str">
        <f t="shared" si="1"/>
        <v>№ 3 SAMIZDAT бумага Самоклейка 80</v>
      </c>
      <c r="W7" s="180">
        <f t="shared" si="2"/>
        <v>3</v>
      </c>
      <c r="X7" s="180" t="str">
        <f t="shared" si="3"/>
        <v>SAMIZDAT бумага Самоклейка 80</v>
      </c>
    </row>
    <row r="8" spans="1:24" ht="15.75" thickBot="1">
      <c r="A8" s="347"/>
      <c r="B8" s="347"/>
      <c r="C8" s="347"/>
      <c r="D8" s="347"/>
      <c r="E8" s="347"/>
      <c r="F8" s="347"/>
      <c r="G8" s="347"/>
      <c r="H8" s="347"/>
      <c r="I8" s="347"/>
      <c r="J8" s="347"/>
      <c r="L8">
        <f>Себестоимости!A43</f>
        <v>4</v>
      </c>
      <c r="M8" t="str">
        <f>Себестоимости!B43</f>
        <v>Самоклейка</v>
      </c>
      <c r="N8" t="str">
        <f>Себестоимости!C43</f>
        <v>Гладкий полуглянец</v>
      </c>
      <c r="O8">
        <f>Себестоимости!D43</f>
        <v>0</v>
      </c>
      <c r="P8" t="str">
        <f>Себестоимости!E43</f>
        <v>Белый</v>
      </c>
      <c r="Q8">
        <f>Себестоимости!F43</f>
        <v>140</v>
      </c>
      <c r="U8" s="180">
        <f t="shared" si="0"/>
        <v>0</v>
      </c>
      <c r="V8" s="180" t="str">
        <f t="shared" si="1"/>
        <v>№ 4 Самоклейка</v>
      </c>
      <c r="W8" s="180">
        <f t="shared" si="2"/>
        <v>4</v>
      </c>
      <c r="X8" s="180" t="str">
        <f t="shared" si="3"/>
        <v>Самоклейка</v>
      </c>
    </row>
    <row r="9" spans="1:24" ht="16.5" thickTop="1" thickBot="1">
      <c r="A9" s="42" t="s">
        <v>302</v>
      </c>
      <c r="B9" s="59" t="str">
        <f>Себестоимости!B37</f>
        <v>Снегурочка</v>
      </c>
      <c r="D9" s="72" t="s">
        <v>315</v>
      </c>
      <c r="E9" s="41"/>
      <c r="F9" s="60" t="s">
        <v>316</v>
      </c>
      <c r="G9" s="61">
        <f>SUM(Себестоимости!N3:N4)</f>
        <v>1109.4192264302983</v>
      </c>
      <c r="I9" s="53" t="s">
        <v>467</v>
      </c>
      <c r="J9" s="62">
        <f>CEILING(IF(J10=I65,IF(C3=E66,Себестоимости!M17,0),0)+IF(J11=I65,IF(C5=E66,Себестоимости!M17,0),0),Настройки!K8)</f>
        <v>0</v>
      </c>
      <c r="L9">
        <f>Себестоимости!A44</f>
        <v>5</v>
      </c>
      <c r="M9" t="str">
        <f>Себестоимости!B44</f>
        <v>MAJESTIC</v>
      </c>
      <c r="N9" t="str">
        <f>Себестоимости!C44</f>
        <v>Гладкий</v>
      </c>
      <c r="O9">
        <f>Себестоимости!D44</f>
        <v>0</v>
      </c>
      <c r="P9" t="str">
        <f>Себестоимости!E44</f>
        <v>Песочный пляж</v>
      </c>
      <c r="Q9">
        <f>Себестоимости!F44</f>
        <v>290</v>
      </c>
      <c r="U9" s="180">
        <f t="shared" si="0"/>
        <v>0</v>
      </c>
      <c r="V9" s="180" t="str">
        <f t="shared" si="1"/>
        <v>№ 5 MAJESTIC</v>
      </c>
      <c r="W9" s="180">
        <f t="shared" si="2"/>
        <v>5</v>
      </c>
      <c r="X9" s="180" t="str">
        <f t="shared" si="3"/>
        <v>MAJESTIC</v>
      </c>
    </row>
    <row r="10" spans="1:24" ht="16.5" thickTop="1" thickBot="1">
      <c r="A10" s="42" t="s">
        <v>287</v>
      </c>
      <c r="B10" s="59">
        <f>Себестоимости!F37</f>
        <v>80</v>
      </c>
      <c r="E10" s="41"/>
      <c r="F10" s="60" t="s">
        <v>128</v>
      </c>
      <c r="G10" s="61">
        <f>Резка!B2+IF(G16&gt;0,G16*0.2,0)</f>
        <v>0</v>
      </c>
      <c r="I10" s="58" t="s">
        <v>483</v>
      </c>
      <c r="J10" s="67" t="s">
        <v>93</v>
      </c>
      <c r="L10">
        <f>Себестоимости!A45</f>
        <v>6</v>
      </c>
      <c r="M10" t="str">
        <f>Себестоимости!B45</f>
        <v>MAJESTIC</v>
      </c>
      <c r="N10" t="str">
        <f>Себестоимости!C45</f>
        <v>Гладкий</v>
      </c>
      <c r="O10">
        <f>Себестоимости!D45</f>
        <v>0</v>
      </c>
      <c r="P10" t="str">
        <f>Себестоимости!E45</f>
        <v>Белый мрамор Металлик</v>
      </c>
      <c r="Q10">
        <f>Себестоимости!F45</f>
        <v>290</v>
      </c>
      <c r="U10" s="180">
        <f t="shared" si="0"/>
        <v>0</v>
      </c>
      <c r="V10" s="180" t="str">
        <f t="shared" si="1"/>
        <v>№ 6 MAJESTIC</v>
      </c>
      <c r="W10" s="180">
        <f t="shared" si="2"/>
        <v>6</v>
      </c>
      <c r="X10" s="180" t="str">
        <f t="shared" si="3"/>
        <v>MAJESTIC</v>
      </c>
    </row>
    <row r="11" spans="1:24" ht="16.5" thickTop="1" thickBot="1">
      <c r="A11" s="42" t="s">
        <v>305</v>
      </c>
      <c r="B11" s="59" t="str">
        <f>Себестоимости!E37</f>
        <v>Белый</v>
      </c>
      <c r="E11" s="41"/>
      <c r="F11" s="60" t="s">
        <v>322</v>
      </c>
      <c r="G11" s="61">
        <f>Себестоимости!G37*Форматы!N2</f>
        <v>145.00000000000003</v>
      </c>
      <c r="I11" s="58" t="s">
        <v>286</v>
      </c>
      <c r="J11" s="67" t="s">
        <v>93</v>
      </c>
      <c r="L11">
        <f>Себестоимости!A46</f>
        <v>7</v>
      </c>
      <c r="M11" t="str">
        <f>Себестоимости!B46</f>
        <v>MAJESTIC</v>
      </c>
      <c r="N11" t="str">
        <f>Себестоимости!C46</f>
        <v>Гладкий</v>
      </c>
      <c r="O11">
        <f>Себестоимости!D46</f>
        <v>0</v>
      </c>
      <c r="P11" t="str">
        <f>Себестоимости!E46</f>
        <v>Млечный путь</v>
      </c>
      <c r="Q11">
        <f>Себестоимости!F46</f>
        <v>290</v>
      </c>
      <c r="U11" s="180">
        <f t="shared" si="0"/>
        <v>0</v>
      </c>
      <c r="V11" s="180" t="str">
        <f t="shared" si="1"/>
        <v>№ 7 MAJESTIC</v>
      </c>
      <c r="W11" s="180">
        <f t="shared" si="2"/>
        <v>7</v>
      </c>
      <c r="X11" s="180" t="str">
        <f t="shared" si="3"/>
        <v>MAJESTIC</v>
      </c>
    </row>
    <row r="12" spans="1:24" ht="16.5" thickTop="1" thickBot="1">
      <c r="A12" s="42" t="s">
        <v>306</v>
      </c>
      <c r="B12" s="81">
        <f>Себестоимости!G37</f>
        <v>1.4500000000000002</v>
      </c>
      <c r="E12" s="41"/>
      <c r="F12" s="60" t="s">
        <v>160</v>
      </c>
      <c r="G12" s="61">
        <f>(IF(A19=H67,0,Себестоимости!I17)+IF(A19=H67,0,IF(G10&gt;0,G10*Резка!C18,0)))*IF(A20=E75,IF(Форматы!F2=1,0.9,1),1)</f>
        <v>0</v>
      </c>
      <c r="I12" s="54"/>
      <c r="J12" s="55" t="str">
        <f>IF(H95&lt;H96*4,"лицо не в цвете",IF(I95&lt;4*I96,"оборот не в цвете"," "))</f>
        <v xml:space="preserve"> </v>
      </c>
      <c r="L12">
        <f>Себестоимости!A47</f>
        <v>8</v>
      </c>
      <c r="M12" t="str">
        <f>Себестоимости!B47</f>
        <v>MAXIGLOSS</v>
      </c>
      <c r="N12" t="str">
        <f>Себестоимости!C47</f>
        <v>Гладкий Глянец мелованный (стандарт)</v>
      </c>
      <c r="O12">
        <f>Себестоимости!D47</f>
        <v>0</v>
      </c>
      <c r="P12" t="str">
        <f>Себестоимости!E47</f>
        <v xml:space="preserve">Белый </v>
      </c>
      <c r="Q12">
        <f>Себестоимости!F47</f>
        <v>300</v>
      </c>
      <c r="U12" s="180">
        <f t="shared" si="0"/>
        <v>0</v>
      </c>
      <c r="V12" s="180" t="str">
        <f t="shared" si="1"/>
        <v>№ 8 MAXIGLOSS</v>
      </c>
      <c r="W12" s="180">
        <f t="shared" si="2"/>
        <v>8</v>
      </c>
      <c r="X12" s="180" t="str">
        <f t="shared" si="3"/>
        <v>MAXIGLOSS</v>
      </c>
    </row>
    <row r="13" spans="1:24" ht="16.5" thickTop="1" thickBot="1">
      <c r="A13" s="42" t="s">
        <v>335</v>
      </c>
      <c r="B13" s="42">
        <f>Себестоимости!C37</f>
        <v>0</v>
      </c>
      <c r="E13" s="41"/>
      <c r="F13" s="60" t="s">
        <v>288</v>
      </c>
      <c r="G13" s="42">
        <f>D18</f>
        <v>0</v>
      </c>
      <c r="I13" s="56"/>
      <c r="J13" s="57" t="str">
        <f>IF(SUM(Себестоимости!I4:J5,Себестоимости!I8:J8)&gt;0,"Большой лист"," ")</f>
        <v xml:space="preserve"> </v>
      </c>
      <c r="L13">
        <f>Себестоимости!A48</f>
        <v>9</v>
      </c>
      <c r="M13" t="str">
        <f>Себестоимости!B48</f>
        <v>ICELASER</v>
      </c>
      <c r="N13" t="str">
        <f>Себестоимости!C48</f>
        <v>Лён</v>
      </c>
      <c r="O13">
        <f>Себестоимости!D48</f>
        <v>0</v>
      </c>
      <c r="P13" t="str">
        <f>Себестоимости!E48</f>
        <v>Белый лён</v>
      </c>
      <c r="Q13">
        <f>Себестоимости!F48</f>
        <v>250</v>
      </c>
      <c r="U13" s="180">
        <f t="shared" si="0"/>
        <v>0</v>
      </c>
      <c r="V13" s="180" t="str">
        <f t="shared" si="1"/>
        <v>№ 9 ICELASER</v>
      </c>
      <c r="W13" s="180">
        <f t="shared" si="2"/>
        <v>9</v>
      </c>
      <c r="X13" s="180" t="str">
        <f t="shared" si="3"/>
        <v>ICELASER</v>
      </c>
    </row>
    <row r="14" spans="1:24" ht="16.5" thickTop="1" thickBot="1">
      <c r="A14" s="42" t="s">
        <v>368</v>
      </c>
      <c r="B14" s="42" t="str">
        <f>IF(B10&lt;120,"да",IF(B10&lt;160,"условно","нет"))</f>
        <v>да</v>
      </c>
      <c r="E14" s="41"/>
      <c r="F14" s="60" t="s">
        <v>290</v>
      </c>
      <c r="G14" s="42">
        <f>G18</f>
        <v>0</v>
      </c>
      <c r="J14" s="38"/>
      <c r="L14">
        <f>Себестоимости!A49</f>
        <v>10</v>
      </c>
      <c r="M14" t="str">
        <f>Себестоимости!B49</f>
        <v>MAJESTIC</v>
      </c>
      <c r="N14" t="str">
        <f>Себестоимости!C49</f>
        <v>Гладкий</v>
      </c>
      <c r="O14">
        <f>Себестоимости!D49</f>
        <v>0</v>
      </c>
      <c r="P14" t="str">
        <f>Себестоимости!E49</f>
        <v>Золотая лихорадка</v>
      </c>
      <c r="Q14">
        <f>Себестоимости!F49</f>
        <v>290</v>
      </c>
      <c r="U14" s="180">
        <f t="shared" si="0"/>
        <v>0</v>
      </c>
      <c r="V14" s="180" t="str">
        <f t="shared" si="1"/>
        <v>№ 10 MAJESTIC</v>
      </c>
      <c r="W14" s="180">
        <f t="shared" si="2"/>
        <v>10</v>
      </c>
      <c r="X14" s="180" t="str">
        <f t="shared" si="3"/>
        <v>MAJESTIC</v>
      </c>
    </row>
    <row r="15" spans="1:24" ht="16.5" thickTop="1" thickBot="1">
      <c r="A15" s="250" t="s">
        <v>1175</v>
      </c>
      <c r="B15" s="251">
        <f>B10*Форматы!R2*I4/1000</f>
        <v>0.49896000000000001</v>
      </c>
      <c r="E15" s="41"/>
      <c r="F15" s="60" t="s">
        <v>291</v>
      </c>
      <c r="G15" s="42">
        <f>IF(I19&gt;0,I18,0)</f>
        <v>0</v>
      </c>
      <c r="I15" s="252" t="s">
        <v>1184</v>
      </c>
      <c r="J15" s="66" t="s">
        <v>93</v>
      </c>
      <c r="K15" s="42">
        <f>SUM(H107:H116)</f>
        <v>0</v>
      </c>
      <c r="L15">
        <f>Себестоимости!A50</f>
        <v>11</v>
      </c>
      <c r="M15" t="str">
        <f>Себестоимости!B50</f>
        <v>Colorcopy</v>
      </c>
      <c r="N15" t="str">
        <f>Себестоимости!C50</f>
        <v>Гладкий Глянец мелованный</v>
      </c>
      <c r="O15">
        <f>Себестоимости!D50</f>
        <v>0</v>
      </c>
      <c r="P15" t="str">
        <f>Себестоимости!E50</f>
        <v>белый</v>
      </c>
      <c r="Q15">
        <f>Себестоимости!F50</f>
        <v>170</v>
      </c>
      <c r="U15" s="180">
        <f t="shared" si="0"/>
        <v>0</v>
      </c>
      <c r="V15" s="180" t="str">
        <f t="shared" si="1"/>
        <v>№ 11 Colorcopy</v>
      </c>
      <c r="W15" s="180">
        <f t="shared" si="2"/>
        <v>11</v>
      </c>
      <c r="X15" s="180" t="str">
        <f t="shared" si="3"/>
        <v>Colorcopy</v>
      </c>
    </row>
    <row r="16" spans="1:24" ht="16.5" thickTop="1" thickBot="1">
      <c r="E16" s="350" t="s">
        <v>718</v>
      </c>
      <c r="F16" s="351"/>
      <c r="G16" s="42">
        <f>SUM(K70:K74)</f>
        <v>0</v>
      </c>
      <c r="L16">
        <f>Себестоимости!A51</f>
        <v>12</v>
      </c>
      <c r="M16" t="str">
        <f>Себестоимости!B51</f>
        <v>Colorcopy</v>
      </c>
      <c r="N16" t="str">
        <f>Себестоимости!C51</f>
        <v>Матовый мелованный белый</v>
      </c>
      <c r="O16">
        <f>Себестоимости!D51</f>
        <v>0</v>
      </c>
      <c r="P16" t="str">
        <f>Себестоимости!E51</f>
        <v>белый</v>
      </c>
      <c r="Q16">
        <f>Себестоимости!F51</f>
        <v>200</v>
      </c>
      <c r="U16" s="180">
        <f t="shared" si="0"/>
        <v>0</v>
      </c>
      <c r="V16" s="180" t="str">
        <f t="shared" si="1"/>
        <v>№ 12 Colorcopy</v>
      </c>
      <c r="W16" s="180">
        <f t="shared" si="2"/>
        <v>12</v>
      </c>
      <c r="X16" s="180" t="str">
        <f t="shared" si="3"/>
        <v>Colorcopy</v>
      </c>
    </row>
    <row r="17" spans="1:24" ht="16.5" thickTop="1" thickBot="1">
      <c r="A17" t="s">
        <v>289</v>
      </c>
      <c r="E17" s="41"/>
      <c r="F17" s="240" t="s">
        <v>1169</v>
      </c>
      <c r="G17" s="42">
        <f>SUM(D24:H24)</f>
        <v>0</v>
      </c>
      <c r="L17">
        <f>Себестоимости!A52</f>
        <v>14</v>
      </c>
      <c r="M17" t="str">
        <f>Себестоимости!B52</f>
        <v>Majestic</v>
      </c>
      <c r="N17" t="str">
        <f>Себестоимости!C52</f>
        <v>Гладкий</v>
      </c>
      <c r="O17">
        <f>Себестоимости!D52</f>
        <v>0</v>
      </c>
      <c r="P17" t="str">
        <f>Себестоимости!E52</f>
        <v>Хамелеон голубой свет</v>
      </c>
      <c r="Q17">
        <f>Себестоимости!F52</f>
        <v>250</v>
      </c>
      <c r="U17" s="180">
        <f t="shared" si="0"/>
        <v>0</v>
      </c>
      <c r="V17" s="180" t="str">
        <f t="shared" si="1"/>
        <v>№ 14 Majestic</v>
      </c>
      <c r="W17" s="180">
        <f t="shared" si="2"/>
        <v>14</v>
      </c>
      <c r="X17" s="180" t="str">
        <f t="shared" si="3"/>
        <v>Majestic</v>
      </c>
    </row>
    <row r="18" spans="1:24" ht="15.75" thickTop="1">
      <c r="A18" s="46" t="s">
        <v>160</v>
      </c>
      <c r="B18" s="4"/>
      <c r="C18" s="47" t="s">
        <v>288</v>
      </c>
      <c r="D18" s="44">
        <f>IF(D20=H88,J88,IF(D20=H89,J89,J90))</f>
        <v>0</v>
      </c>
      <c r="E18" s="1"/>
      <c r="F18" s="43" t="s">
        <v>290</v>
      </c>
      <c r="G18" s="44">
        <f>(I4*Настройки!K19)*G19+Настройки!B18*G19</f>
        <v>0</v>
      </c>
      <c r="H18" s="49" t="s">
        <v>291</v>
      </c>
      <c r="I18" s="50">
        <f>IF(I20=I92,(I19*Настройки!K21*I4),I4*Настройки!K21)</f>
        <v>0</v>
      </c>
      <c r="J18" s="1" t="s">
        <v>716</v>
      </c>
      <c r="K18" s="1"/>
      <c r="L18">
        <f>Себестоимости!A53</f>
        <v>15</v>
      </c>
      <c r="M18" t="str">
        <f>Себестоимости!B53</f>
        <v>TOUCH</v>
      </c>
      <c r="N18" t="str">
        <f>Себестоимости!C53</f>
        <v>Латекс</v>
      </c>
      <c r="O18">
        <f>Себестоимости!D53</f>
        <v>0</v>
      </c>
      <c r="P18" t="str">
        <f>Себестоимости!E53</f>
        <v>Высокобелый</v>
      </c>
      <c r="Q18">
        <f>Себестоимости!F53</f>
        <v>301</v>
      </c>
      <c r="U18" s="180">
        <f t="shared" si="0"/>
        <v>0</v>
      </c>
      <c r="V18" s="180" t="str">
        <f t="shared" si="1"/>
        <v>№ 15 TOUCH</v>
      </c>
      <c r="W18" s="180">
        <f t="shared" si="2"/>
        <v>15</v>
      </c>
      <c r="X18" s="180" t="str">
        <f t="shared" si="3"/>
        <v>TOUCH</v>
      </c>
    </row>
    <row r="19" spans="1:24" ht="15.75" thickBot="1">
      <c r="A19" s="219" t="s">
        <v>473</v>
      </c>
      <c r="C19" s="48" t="s">
        <v>370</v>
      </c>
      <c r="D19" s="68">
        <v>0</v>
      </c>
      <c r="E19" s="1"/>
      <c r="F19" s="45" t="s">
        <v>487</v>
      </c>
      <c r="G19" s="69">
        <v>0</v>
      </c>
      <c r="H19" s="51" t="s">
        <v>474</v>
      </c>
      <c r="I19" s="70">
        <v>0</v>
      </c>
      <c r="J19" s="1" t="s">
        <v>717</v>
      </c>
      <c r="K19" s="66" t="s">
        <v>93</v>
      </c>
      <c r="L19">
        <f>Себестоимости!A54</f>
        <v>16</v>
      </c>
      <c r="M19" t="str">
        <f>Себестоимости!B54</f>
        <v>CURIOUS Skin</v>
      </c>
      <c r="N19" t="str">
        <f>Себестоимости!C54</f>
        <v>Латекс</v>
      </c>
      <c r="O19">
        <f>Себестоимости!D54</f>
        <v>0</v>
      </c>
      <c r="P19" t="str">
        <f>Себестоимости!E54</f>
        <v>Высокобелый</v>
      </c>
      <c r="Q19">
        <f>Себестоимости!F54</f>
        <v>270</v>
      </c>
      <c r="U19" s="180">
        <f t="shared" si="0"/>
        <v>0</v>
      </c>
      <c r="V19" s="180" t="str">
        <f t="shared" si="1"/>
        <v>№ 16 CURIOUS Skin</v>
      </c>
      <c r="W19" s="180">
        <f t="shared" si="2"/>
        <v>16</v>
      </c>
      <c r="X19" s="180" t="str">
        <f t="shared" si="3"/>
        <v>CURIOUS Skin</v>
      </c>
    </row>
    <row r="20" spans="1:24" ht="15.75" thickBot="1">
      <c r="A20" s="64" t="s">
        <v>975</v>
      </c>
      <c r="C20" s="45" t="s">
        <v>369</v>
      </c>
      <c r="D20" s="69" t="s">
        <v>371</v>
      </c>
      <c r="H20" s="52" t="s">
        <v>477</v>
      </c>
      <c r="I20" s="71" t="s">
        <v>476</v>
      </c>
      <c r="J20" s="1"/>
      <c r="L20">
        <f>Себестоимости!A55</f>
        <v>17</v>
      </c>
      <c r="M20" t="str">
        <f>Себестоимости!B55</f>
        <v>KEAYKOLOUR</v>
      </c>
      <c r="N20" t="str">
        <f>Себестоимости!C55</f>
        <v>Шероховатый</v>
      </c>
      <c r="O20">
        <f>Себестоимости!D55</f>
        <v>0</v>
      </c>
      <c r="P20" t="str">
        <f>Себестоимости!E55</f>
        <v>China white/белый фарфор</v>
      </c>
      <c r="Q20">
        <f>Себестоимости!F55</f>
        <v>300</v>
      </c>
      <c r="U20" s="180">
        <f t="shared" si="0"/>
        <v>0</v>
      </c>
      <c r="V20" s="180" t="str">
        <f t="shared" si="1"/>
        <v>№ 17 KEAYKOLOUR</v>
      </c>
      <c r="W20" s="180">
        <f t="shared" si="2"/>
        <v>17</v>
      </c>
      <c r="X20" s="180" t="str">
        <f t="shared" si="3"/>
        <v>KEAYKOLOUR</v>
      </c>
    </row>
    <row r="21" spans="1:24" ht="15.75" thickBot="1">
      <c r="L21">
        <f>Себестоимости!A56</f>
        <v>18</v>
      </c>
      <c r="M21" t="str">
        <f>Себестоимости!B56</f>
        <v>CONQUEROR</v>
      </c>
      <c r="N21" t="str">
        <f>Себестоимости!C56</f>
        <v>Хлопок</v>
      </c>
      <c r="O21">
        <f>Себестоимости!D56</f>
        <v>0</v>
      </c>
      <c r="P21" t="str">
        <f>Себестоимости!E56</f>
        <v>Белый</v>
      </c>
      <c r="Q21">
        <f>Себестоимости!F56</f>
        <v>300</v>
      </c>
      <c r="U21" s="180">
        <f t="shared" si="0"/>
        <v>0</v>
      </c>
      <c r="V21" s="180" t="str">
        <f t="shared" si="1"/>
        <v>№ 18 CONQUEROR</v>
      </c>
      <c r="W21" s="180">
        <f t="shared" si="2"/>
        <v>18</v>
      </c>
      <c r="X21" s="180" t="str">
        <f t="shared" si="3"/>
        <v>CONQUEROR</v>
      </c>
    </row>
    <row r="22" spans="1:24" ht="23.25">
      <c r="A22" s="224" t="s">
        <v>1015</v>
      </c>
      <c r="B22" s="226" t="s">
        <v>749</v>
      </c>
      <c r="C22" s="227" t="s">
        <v>1020</v>
      </c>
      <c r="D22" s="228" t="s">
        <v>1016</v>
      </c>
      <c r="E22" s="229" t="s">
        <v>1017</v>
      </c>
      <c r="F22" s="230" t="s">
        <v>1018</v>
      </c>
      <c r="G22" s="229" t="s">
        <v>1019</v>
      </c>
      <c r="H22" s="249" t="s">
        <v>1041</v>
      </c>
      <c r="I22" s="242" t="s">
        <v>1157</v>
      </c>
      <c r="J22" s="243">
        <v>0</v>
      </c>
      <c r="K22" s="244"/>
      <c r="L22">
        <f>Себестоимости!A57</f>
        <v>19</v>
      </c>
      <c r="M22" t="str">
        <f>Себестоимости!B57</f>
        <v>CURIOUS Matter</v>
      </c>
      <c r="N22" t="str">
        <f>Себестоимости!C57</f>
        <v>Шероховатый</v>
      </c>
      <c r="O22">
        <f>Себестоимости!D57</f>
        <v>0</v>
      </c>
      <c r="P22" t="str">
        <f>Себестоимости!E57</f>
        <v>Белый</v>
      </c>
      <c r="Q22">
        <f>Себестоимости!F57</f>
        <v>270</v>
      </c>
      <c r="U22" s="180">
        <f t="shared" si="0"/>
        <v>19</v>
      </c>
      <c r="V22" s="180" t="str">
        <f t="shared" si="1"/>
        <v>№ 19 CURIOUS Matter</v>
      </c>
      <c r="W22" s="180">
        <f t="shared" si="2"/>
        <v>19</v>
      </c>
      <c r="X22" s="180" t="str">
        <f t="shared" si="3"/>
        <v>CURIOUS Matter</v>
      </c>
    </row>
    <row r="23" spans="1:24" ht="15.75" thickBot="1">
      <c r="A23" s="225" t="s">
        <v>93</v>
      </c>
      <c r="B23" s="231" t="s">
        <v>93</v>
      </c>
      <c r="C23" s="258" t="s">
        <v>1219</v>
      </c>
      <c r="D23" s="231" t="s">
        <v>93</v>
      </c>
      <c r="E23" s="231" t="s">
        <v>93</v>
      </c>
      <c r="F23" s="231" t="s">
        <v>93</v>
      </c>
      <c r="G23" s="231" t="s">
        <v>93</v>
      </c>
      <c r="H23" s="352" t="s">
        <v>1114</v>
      </c>
      <c r="I23" s="353"/>
      <c r="J23" s="353"/>
      <c r="K23" s="354"/>
      <c r="L23">
        <f>Себестоимости!A58</f>
        <v>20</v>
      </c>
      <c r="M23" t="str">
        <f>Себестоимости!B58</f>
        <v>KEAYKOLOUR</v>
      </c>
      <c r="N23" t="str">
        <f>Себестоимости!C58</f>
        <v>Шероховатый</v>
      </c>
      <c r="O23">
        <f>Себестоимости!D58</f>
        <v>0</v>
      </c>
      <c r="P23" t="str">
        <f>Себестоимости!E58</f>
        <v>Camel/ серо-зелёный</v>
      </c>
      <c r="Q23">
        <f>Себестоимости!F58</f>
        <v>300</v>
      </c>
      <c r="U23" s="180">
        <f t="shared" si="0"/>
        <v>0</v>
      </c>
      <c r="V23" s="180" t="str">
        <f t="shared" si="1"/>
        <v>№ 20 KEAYKOLOUR</v>
      </c>
      <c r="W23" s="180">
        <f t="shared" si="2"/>
        <v>20</v>
      </c>
      <c r="X23" s="180" t="str">
        <f t="shared" si="3"/>
        <v>KEAYKOLOUR</v>
      </c>
    </row>
    <row r="24" spans="1:24" ht="16.5" thickTop="1" thickBot="1">
      <c r="A24" s="197">
        <f>IF(I66=A23,0,A3*'Изделия из пластика'!I33)</f>
        <v>0</v>
      </c>
      <c r="B24" s="232">
        <f>IF(B23=I66,0,'Изделия из пластика'!J1)</f>
        <v>0</v>
      </c>
      <c r="C24" s="259">
        <f>B3</f>
        <v>1</v>
      </c>
      <c r="D24" s="233">
        <f>IF(D23=I66,0,Переплёт!F9)+IF(Переплёт!C13=4,20*Печать!B3,0)*IF(D23=I66,0,1)</f>
        <v>0</v>
      </c>
      <c r="E24" s="233">
        <f>IF(E23=I66,0,Переплёт!F9)</f>
        <v>0</v>
      </c>
      <c r="F24" s="233">
        <f>IF(F23=I66,0,Переплёт!F9)</f>
        <v>0</v>
      </c>
      <c r="G24" s="233">
        <f>IF(G23=I66,0,IF(Переплёт!F4=0,Переплёт!G4,Переплёт!F4))</f>
        <v>0</v>
      </c>
      <c r="H24" s="245">
        <f>(Себестоимости!P241*Печать!J22*C24)+(Себестоимости!G35*C24*K25)</f>
        <v>0</v>
      </c>
      <c r="I24" s="246"/>
      <c r="J24" s="246"/>
      <c r="K24" s="247"/>
      <c r="L24">
        <f>Себестоимости!A59</f>
        <v>21</v>
      </c>
      <c r="M24" t="str">
        <f>Себестоимости!B59</f>
        <v>Xerox Colorprint</v>
      </c>
      <c r="N24" t="str">
        <f>Себестоимости!C59</f>
        <v>Гладкий</v>
      </c>
      <c r="O24">
        <f>Себестоимости!D59</f>
        <v>0</v>
      </c>
      <c r="P24" t="str">
        <f>Себестоимости!E59</f>
        <v>матовый мелованный</v>
      </c>
      <c r="Q24">
        <f>Себестоимости!F59</f>
        <v>300</v>
      </c>
      <c r="U24" s="180">
        <f t="shared" si="0"/>
        <v>0</v>
      </c>
      <c r="V24" s="180" t="str">
        <f t="shared" si="1"/>
        <v>№ 21 Xerox Colorprint</v>
      </c>
      <c r="W24" s="180">
        <f t="shared" si="2"/>
        <v>21</v>
      </c>
      <c r="X24" s="180" t="str">
        <f t="shared" si="3"/>
        <v>Xerox Colorprint</v>
      </c>
    </row>
    <row r="25" spans="1:24" ht="16.5" thickTop="1" thickBot="1">
      <c r="B25" s="234" t="s">
        <v>934</v>
      </c>
      <c r="D25" s="235" t="s">
        <v>934</v>
      </c>
      <c r="E25" s="235" t="s">
        <v>934</v>
      </c>
      <c r="F25" s="235" t="s">
        <v>934</v>
      </c>
      <c r="G25" s="241" t="s">
        <v>934</v>
      </c>
      <c r="H25" s="45" t="s">
        <v>1168</v>
      </c>
      <c r="I25" s="248" t="s">
        <v>1385</v>
      </c>
      <c r="J25" s="260" t="s">
        <v>1220</v>
      </c>
      <c r="K25" s="69">
        <v>0</v>
      </c>
      <c r="L25">
        <f>Себестоимости!A60</f>
        <v>22</v>
      </c>
      <c r="M25" t="str">
        <f>Себестоимости!B60</f>
        <v>Crush Cacao</v>
      </c>
      <c r="N25" t="str">
        <f>Себестоимости!C60</f>
        <v>крафт</v>
      </c>
      <c r="O25">
        <f>Себестоимости!D60</f>
        <v>0</v>
      </c>
      <c r="P25" t="str">
        <f>Себестоимости!E60</f>
        <v>Какао с молоком</v>
      </c>
      <c r="Q25">
        <f>Себестоимости!F60</f>
        <v>250</v>
      </c>
      <c r="U25" s="180">
        <f t="shared" si="0"/>
        <v>0</v>
      </c>
      <c r="V25" s="180" t="str">
        <f t="shared" si="1"/>
        <v>№ 22 Crush Cacao</v>
      </c>
      <c r="W25" s="180">
        <f t="shared" si="2"/>
        <v>22</v>
      </c>
      <c r="X25" s="180" t="str">
        <f t="shared" si="3"/>
        <v>Crush Cacao</v>
      </c>
    </row>
    <row r="26" spans="1:24">
      <c r="L26">
        <f>Себестоимости!A61</f>
        <v>23</v>
      </c>
      <c r="M26" t="str">
        <f>Себестоимости!B61</f>
        <v>Shiro Eecho Raw  Sand</v>
      </c>
      <c r="N26" t="str">
        <f>Себестоимости!C61</f>
        <v>крафт</v>
      </c>
      <c r="O26">
        <f>Себестоимости!D61</f>
        <v>0</v>
      </c>
      <c r="P26" t="str">
        <f>Себестоимости!E61</f>
        <v>Серый</v>
      </c>
      <c r="Q26">
        <f>Себестоимости!F61</f>
        <v>250</v>
      </c>
      <c r="U26" s="180">
        <f t="shared" si="0"/>
        <v>0</v>
      </c>
      <c r="V26" s="180" t="str">
        <f t="shared" si="1"/>
        <v>№ 23 Shiro Eecho Raw  Sand</v>
      </c>
      <c r="W26" s="180">
        <f t="shared" si="2"/>
        <v>23</v>
      </c>
      <c r="X26" s="180" t="str">
        <f t="shared" si="3"/>
        <v>Shiro Eecho Raw  Sand</v>
      </c>
    </row>
    <row r="27" spans="1:24" ht="21.75" thickBot="1">
      <c r="A27" s="189" t="s">
        <v>747</v>
      </c>
      <c r="B27" s="7"/>
      <c r="C27" s="7"/>
      <c r="D27" s="7"/>
      <c r="E27" s="175" t="s">
        <v>679</v>
      </c>
      <c r="F27" s="7"/>
      <c r="G27" s="7"/>
      <c r="H27" s="7"/>
      <c r="I27" s="7"/>
      <c r="J27" s="7"/>
      <c r="K27" s="221" t="s">
        <v>999</v>
      </c>
      <c r="L27">
        <f>Себестоимости!A62</f>
        <v>24</v>
      </c>
      <c r="M27" t="str">
        <f>Себестоимости!B62</f>
        <v>Colorcopy</v>
      </c>
      <c r="N27" t="str">
        <f>Себестоимости!C62</f>
        <v>Гладкий высоко белый (стандарт)</v>
      </c>
      <c r="O27">
        <f>Себестоимости!D62</f>
        <v>0</v>
      </c>
      <c r="P27" t="str">
        <f>Себестоимости!E62</f>
        <v xml:space="preserve">белый Матовый </v>
      </c>
      <c r="Q27">
        <f>Себестоимости!F62</f>
        <v>250</v>
      </c>
      <c r="U27" s="180">
        <f t="shared" si="0"/>
        <v>0</v>
      </c>
      <c r="V27" s="180" t="str">
        <f t="shared" si="1"/>
        <v>№ 24 Colorcopy</v>
      </c>
      <c r="W27" s="180">
        <f t="shared" si="2"/>
        <v>24</v>
      </c>
      <c r="X27" s="180" t="str">
        <f t="shared" si="3"/>
        <v>Colorcopy</v>
      </c>
    </row>
    <row r="28" spans="1:24" ht="16.5" thickTop="1" thickBot="1">
      <c r="A28" s="177" t="s">
        <v>284</v>
      </c>
      <c r="B28" s="177" t="s">
        <v>283</v>
      </c>
      <c r="C28" s="177" t="s">
        <v>678</v>
      </c>
      <c r="D28" s="177" t="s">
        <v>287</v>
      </c>
      <c r="E28" s="60" t="s">
        <v>309</v>
      </c>
      <c r="G28" s="146" t="s">
        <v>288</v>
      </c>
      <c r="H28" s="146" t="s">
        <v>655</v>
      </c>
      <c r="I28" s="146" t="s">
        <v>677</v>
      </c>
      <c r="J28" s="146" t="s">
        <v>290</v>
      </c>
      <c r="K28" s="1" t="str">
        <f>IF(Печать!D29=Офсет!E100,"Ламинация"," ")</f>
        <v xml:space="preserve"> </v>
      </c>
      <c r="L28">
        <f>Себестоимости!A63</f>
        <v>25</v>
      </c>
      <c r="M28" t="str">
        <f>Себестоимости!B63</f>
        <v>Brauberg</v>
      </c>
      <c r="N28" t="str">
        <f>Себестоимости!C63</f>
        <v>Немелованная</v>
      </c>
      <c r="O28">
        <f>Себестоимости!D63</f>
        <v>0</v>
      </c>
      <c r="P28" t="str">
        <f>Себестоимости!E63</f>
        <v>Белый</v>
      </c>
      <c r="Q28">
        <f>Себестоимости!F63</f>
        <v>190</v>
      </c>
      <c r="U28" s="180">
        <f t="shared" ref="U28:U91" si="4">IF($V$2=V28,W28,0)</f>
        <v>0</v>
      </c>
      <c r="V28" s="180" t="str">
        <f t="shared" ref="V28:V91" si="5">CONCATENATE("№ ",W28," ",X28)</f>
        <v>№ 25 Brauberg</v>
      </c>
      <c r="W28" s="180">
        <f t="shared" ref="W28:W91" si="6">L28</f>
        <v>25</v>
      </c>
      <c r="X28" s="180" t="str">
        <f t="shared" ref="X28:X91" si="7">M28</f>
        <v>Brauberg</v>
      </c>
    </row>
    <row r="29" spans="1:24" ht="16.5" thickTop="1" thickBot="1">
      <c r="A29" s="330" t="s">
        <v>649</v>
      </c>
      <c r="B29" s="65">
        <v>500</v>
      </c>
      <c r="C29" s="65" t="s">
        <v>646</v>
      </c>
      <c r="D29" s="65">
        <v>130</v>
      </c>
      <c r="E29" s="176">
        <f>CEILING((Офсет!C4+Офсет!C34+Офсет!C65+SUM(Офсет!D28:U32)+SUM(Офсет!D58:O64)+SUM(Офсет!D81:O92)),10)</f>
        <v>2200</v>
      </c>
      <c r="G29" s="66" t="s">
        <v>93</v>
      </c>
      <c r="H29" s="66" t="s">
        <v>93</v>
      </c>
      <c r="I29" s="66" t="s">
        <v>93</v>
      </c>
      <c r="J29" s="66" t="s">
        <v>93</v>
      </c>
      <c r="K29" s="66" t="s">
        <v>93</v>
      </c>
      <c r="L29">
        <f>Себестоимости!A64</f>
        <v>27</v>
      </c>
      <c r="M29" t="str">
        <f>Себестоимости!B64</f>
        <v>PREMIER</v>
      </c>
      <c r="N29" t="str">
        <f>Себестоимости!C64</f>
        <v>Микрофибр</v>
      </c>
      <c r="O29">
        <f>Себестоимости!D64</f>
        <v>0</v>
      </c>
      <c r="P29" t="str">
        <f>Себестоимости!E64</f>
        <v>Зелёный чай</v>
      </c>
      <c r="Q29">
        <f>Себестоимости!F64</f>
        <v>300</v>
      </c>
      <c r="U29" s="180">
        <f t="shared" si="4"/>
        <v>0</v>
      </c>
      <c r="V29" s="180" t="str">
        <f t="shared" si="5"/>
        <v>№ 27 PREMIER</v>
      </c>
      <c r="W29" s="180">
        <f t="shared" si="6"/>
        <v>27</v>
      </c>
      <c r="X29" s="180" t="str">
        <f t="shared" si="7"/>
        <v>PREMIER</v>
      </c>
    </row>
    <row r="30" spans="1:24" ht="15.75" thickTop="1">
      <c r="L30">
        <f>Себестоимости!A65</f>
        <v>28</v>
      </c>
      <c r="M30" t="str">
        <f>Себестоимости!B65</f>
        <v>COMET</v>
      </c>
      <c r="N30" t="str">
        <f>Себестоимости!C65</f>
        <v>Гладкий</v>
      </c>
      <c r="O30">
        <f>Себестоимости!D65</f>
        <v>0</v>
      </c>
      <c r="P30" t="str">
        <f>Себестоимости!E65</f>
        <v>Металлик брильянт</v>
      </c>
      <c r="Q30">
        <f>Себестоимости!F65</f>
        <v>300</v>
      </c>
      <c r="U30" s="180">
        <f t="shared" si="4"/>
        <v>0</v>
      </c>
      <c r="V30" s="180" t="str">
        <f t="shared" si="5"/>
        <v>№ 28 COMET</v>
      </c>
      <c r="W30" s="180">
        <f t="shared" si="6"/>
        <v>28</v>
      </c>
      <c r="X30" s="180" t="str">
        <f t="shared" si="7"/>
        <v>COMET</v>
      </c>
    </row>
    <row r="31" spans="1:24" ht="21.75" thickBot="1">
      <c r="A31" s="189" t="s">
        <v>747</v>
      </c>
      <c r="B31" s="184"/>
      <c r="C31" s="184"/>
      <c r="D31" s="184"/>
      <c r="E31" s="175" t="s">
        <v>707</v>
      </c>
      <c r="F31" s="184"/>
      <c r="G31" s="184"/>
      <c r="H31" s="184"/>
      <c r="I31" s="184"/>
      <c r="J31" s="184"/>
      <c r="K31" s="221" t="s">
        <v>999</v>
      </c>
      <c r="L31">
        <f>Себестоимости!A66</f>
        <v>29</v>
      </c>
      <c r="M31" t="str">
        <f>Себестоимости!B66</f>
        <v>SPECTRAL</v>
      </c>
      <c r="N31" t="str">
        <f>Себестоимости!C66</f>
        <v>Гладкий</v>
      </c>
      <c r="O31">
        <f>Себестоимости!D66</f>
        <v>0</v>
      </c>
      <c r="P31" t="str">
        <f>Себестоимости!E66</f>
        <v>калька</v>
      </c>
      <c r="Q31">
        <f>Себестоимости!F66</f>
        <v>200</v>
      </c>
      <c r="U31" s="180">
        <f t="shared" si="4"/>
        <v>0</v>
      </c>
      <c r="V31" s="180" t="str">
        <f t="shared" si="5"/>
        <v>№ 29 SPECTRAL</v>
      </c>
      <c r="W31" s="180">
        <f t="shared" si="6"/>
        <v>29</v>
      </c>
      <c r="X31" s="180" t="str">
        <f t="shared" si="7"/>
        <v>SPECTRAL</v>
      </c>
    </row>
    <row r="32" spans="1:24" ht="16.5" thickTop="1" thickBot="1">
      <c r="A32" s="177" t="s">
        <v>284</v>
      </c>
      <c r="B32" s="177" t="s">
        <v>283</v>
      </c>
      <c r="C32" s="177" t="s">
        <v>678</v>
      </c>
      <c r="D32" s="177" t="s">
        <v>292</v>
      </c>
      <c r="F32" s="180"/>
      <c r="G32" s="177" t="s">
        <v>288</v>
      </c>
      <c r="H32" s="182"/>
      <c r="I32" s="60" t="s">
        <v>309</v>
      </c>
      <c r="J32" s="42">
        <f>CEILING(Себестоимости!M33,5)</f>
        <v>440</v>
      </c>
      <c r="K32" s="180"/>
      <c r="L32">
        <f>Себестоимости!A67</f>
        <v>30</v>
      </c>
      <c r="M32" t="str">
        <f>Себестоимости!B67</f>
        <v>TOUCH</v>
      </c>
      <c r="N32" t="str">
        <f>Себестоимости!C67</f>
        <v>Латекс</v>
      </c>
      <c r="O32">
        <f>Себестоимости!D67</f>
        <v>0</v>
      </c>
      <c r="P32" t="str">
        <f>Себестоимости!E67</f>
        <v xml:space="preserve">белый Матовый </v>
      </c>
      <c r="Q32">
        <f>Себестоимости!F67</f>
        <v>301</v>
      </c>
      <c r="U32" s="180">
        <f t="shared" si="4"/>
        <v>0</v>
      </c>
      <c r="V32" s="180" t="str">
        <f t="shared" si="5"/>
        <v>№ 30 TOUCH</v>
      </c>
      <c r="W32" s="180">
        <f t="shared" si="6"/>
        <v>30</v>
      </c>
      <c r="X32" s="180" t="str">
        <f t="shared" si="7"/>
        <v>TOUCH</v>
      </c>
    </row>
    <row r="33" spans="1:24" ht="16.5" thickTop="1" thickBot="1">
      <c r="A33" s="330" t="s">
        <v>80</v>
      </c>
      <c r="B33" s="329">
        <v>100</v>
      </c>
      <c r="C33" s="329" t="s">
        <v>700</v>
      </c>
      <c r="D33" s="329">
        <v>100</v>
      </c>
      <c r="F33" s="180"/>
      <c r="G33" s="66" t="s">
        <v>93</v>
      </c>
      <c r="H33" s="180"/>
      <c r="I33" s="60" t="s">
        <v>310</v>
      </c>
      <c r="J33" s="63">
        <f>J32/B33</f>
        <v>4.4000000000000004</v>
      </c>
      <c r="K33" s="180"/>
      <c r="L33">
        <f>Себестоимости!A68</f>
        <v>32</v>
      </c>
      <c r="M33" t="str">
        <f>Себестоимости!B68</f>
        <v>Verona</v>
      </c>
      <c r="N33" t="str">
        <f>Себестоимости!C68</f>
        <v>Лён</v>
      </c>
      <c r="O33">
        <f>Себестоимости!D68</f>
        <v>0</v>
      </c>
      <c r="P33" t="str">
        <f>Себестоимости!E68</f>
        <v>Слоновая кость</v>
      </c>
      <c r="Q33">
        <f>Себестоимости!F68</f>
        <v>250</v>
      </c>
      <c r="U33" s="180">
        <f t="shared" si="4"/>
        <v>0</v>
      </c>
      <c r="V33" s="180" t="str">
        <f t="shared" si="5"/>
        <v>№ 32 Verona</v>
      </c>
      <c r="W33" s="180">
        <f t="shared" si="6"/>
        <v>32</v>
      </c>
      <c r="X33" s="180" t="str">
        <f t="shared" si="7"/>
        <v>Verona</v>
      </c>
    </row>
    <row r="34" spans="1:24" ht="15.75" thickTop="1">
      <c r="A34" s="348" t="str">
        <f>CONCATENATE("Вы выбрали бумагу - ",F118,", Цвет: ",G118,", Плотность: ",H118," гр.")</f>
        <v>Вы выбрали бумагу - Снегурочка, Цвет: Белый, Плотность: 80 гр.</v>
      </c>
      <c r="B34" s="349"/>
      <c r="C34" s="349"/>
      <c r="D34" s="349"/>
      <c r="E34" s="349"/>
      <c r="F34" s="349"/>
      <c r="G34" s="349"/>
      <c r="H34" s="180"/>
      <c r="K34" s="180"/>
      <c r="L34">
        <f>Себестоимости!A69</f>
        <v>34</v>
      </c>
      <c r="M34" t="str">
        <f>Себестоимости!B69</f>
        <v>Touch</v>
      </c>
      <c r="N34" t="str">
        <f>Себестоимости!C69</f>
        <v>Латекс</v>
      </c>
      <c r="O34">
        <f>Себестоимости!D69</f>
        <v>0</v>
      </c>
      <c r="P34" t="str">
        <f>Себестоимости!E69</f>
        <v>Бордовый матовый</v>
      </c>
      <c r="Q34">
        <f>Себестоимости!F69</f>
        <v>301</v>
      </c>
      <c r="U34" s="180">
        <f t="shared" si="4"/>
        <v>0</v>
      </c>
      <c r="V34" s="180" t="str">
        <f t="shared" si="5"/>
        <v>№ 34 Touch</v>
      </c>
      <c r="W34" s="180">
        <f t="shared" si="6"/>
        <v>34</v>
      </c>
      <c r="X34" s="180" t="str">
        <f t="shared" si="7"/>
        <v>Touch</v>
      </c>
    </row>
    <row r="35" spans="1:24">
      <c r="A35" s="180"/>
      <c r="B35" s="180"/>
      <c r="C35" s="180"/>
      <c r="D35" s="180"/>
      <c r="F35" s="180"/>
      <c r="G35" s="180"/>
      <c r="H35" s="180"/>
      <c r="J35" s="180"/>
      <c r="K35" s="180"/>
      <c r="L35">
        <f>Себестоимости!A70</f>
        <v>35</v>
      </c>
      <c r="M35" t="str">
        <f>Себестоимости!B70</f>
        <v>Majestic</v>
      </c>
      <c r="N35" t="str">
        <f>Себестоимости!C70</f>
        <v>Гладкий</v>
      </c>
      <c r="O35">
        <f>Себестоимости!D70</f>
        <v>0</v>
      </c>
      <c r="P35" t="str">
        <f>Себестоимости!E70</f>
        <v>Императорский красный</v>
      </c>
      <c r="Q35">
        <f>Себестоимости!F70</f>
        <v>290</v>
      </c>
      <c r="U35" s="180">
        <f t="shared" si="4"/>
        <v>0</v>
      </c>
      <c r="V35" s="180" t="str">
        <f t="shared" si="5"/>
        <v>№ 35 Majestic</v>
      </c>
      <c r="W35" s="180">
        <f t="shared" si="6"/>
        <v>35</v>
      </c>
      <c r="X35" s="180" t="str">
        <f t="shared" si="7"/>
        <v>Majestic</v>
      </c>
    </row>
    <row r="36" spans="1:24">
      <c r="A36" s="180"/>
      <c r="B36" s="180"/>
      <c r="C36" s="180"/>
      <c r="D36" s="180"/>
      <c r="E36" s="180"/>
      <c r="F36" s="180"/>
      <c r="G36" s="180"/>
      <c r="H36" s="180"/>
      <c r="I36" s="180"/>
      <c r="J36" s="180"/>
      <c r="K36" s="180"/>
      <c r="L36">
        <f>Себестоимости!A71</f>
        <v>36</v>
      </c>
      <c r="M36" t="str">
        <f>Себестоимости!B71</f>
        <v>Majestic</v>
      </c>
      <c r="N36" t="str">
        <f>Себестоимости!C71</f>
        <v>luxus</v>
      </c>
      <c r="O36">
        <f>Себестоимости!D71</f>
        <v>0</v>
      </c>
      <c r="P36" t="str">
        <f>Себестоимости!E71</f>
        <v>Настоящее серебро</v>
      </c>
      <c r="Q36">
        <f>Себестоимости!F71</f>
        <v>250</v>
      </c>
      <c r="U36" s="180">
        <f t="shared" si="4"/>
        <v>0</v>
      </c>
      <c r="V36" s="180" t="str">
        <f t="shared" si="5"/>
        <v>№ 36 Majestic</v>
      </c>
      <c r="W36" s="180">
        <f t="shared" si="6"/>
        <v>36</v>
      </c>
      <c r="X36" s="180" t="str">
        <f t="shared" si="7"/>
        <v>Majestic</v>
      </c>
    </row>
    <row r="37" spans="1:24">
      <c r="A37" s="180"/>
      <c r="B37" s="180"/>
      <c r="C37" s="180"/>
      <c r="D37" s="180"/>
      <c r="E37" s="180"/>
      <c r="F37" s="180"/>
      <c r="G37" s="180"/>
      <c r="H37" s="180"/>
      <c r="I37" s="180"/>
      <c r="J37" s="180"/>
      <c r="K37" s="180"/>
      <c r="L37">
        <f>Себестоимости!A72</f>
        <v>40</v>
      </c>
      <c r="M37" t="str">
        <f>Себестоимости!B72</f>
        <v>Premier</v>
      </c>
      <c r="N37" t="str">
        <f>Себестоимости!C72</f>
        <v>Микрофибр</v>
      </c>
      <c r="O37">
        <f>Себестоимости!D72</f>
        <v>0</v>
      </c>
      <c r="P37" t="str">
        <f>Себестоимости!E72</f>
        <v>Мятный</v>
      </c>
      <c r="Q37">
        <f>Себестоимости!F72</f>
        <v>300</v>
      </c>
      <c r="U37" s="180">
        <f t="shared" si="4"/>
        <v>0</v>
      </c>
      <c r="V37" s="180" t="str">
        <f t="shared" si="5"/>
        <v>№ 40 Premier</v>
      </c>
      <c r="W37" s="180">
        <f t="shared" si="6"/>
        <v>40</v>
      </c>
      <c r="X37" s="180" t="str">
        <f t="shared" si="7"/>
        <v>Premier</v>
      </c>
    </row>
    <row r="38" spans="1:24">
      <c r="A38" s="180"/>
      <c r="B38" s="180"/>
      <c r="C38" s="180"/>
      <c r="D38" s="180"/>
      <c r="E38" s="180"/>
      <c r="F38" s="180"/>
      <c r="G38" s="180"/>
      <c r="H38" s="180"/>
      <c r="I38" s="180"/>
      <c r="J38" s="180"/>
      <c r="K38" s="180"/>
      <c r="L38">
        <f>Себестоимости!A73</f>
        <v>41</v>
      </c>
      <c r="M38" t="str">
        <f>Себестоимости!B73</f>
        <v>Copenhagen</v>
      </c>
      <c r="N38" t="str">
        <f>Себестоимости!C73</f>
        <v>Микровельвет</v>
      </c>
      <c r="O38">
        <f>Себестоимости!D73</f>
        <v>0</v>
      </c>
      <c r="P38" t="str">
        <f>Себестоимости!E73</f>
        <v>белый</v>
      </c>
      <c r="Q38">
        <f>Себестоимости!F73</f>
        <v>300</v>
      </c>
      <c r="U38" s="180">
        <f t="shared" si="4"/>
        <v>0</v>
      </c>
      <c r="V38" s="180" t="str">
        <f t="shared" si="5"/>
        <v>№ 41 Copenhagen</v>
      </c>
      <c r="W38" s="180">
        <f t="shared" si="6"/>
        <v>41</v>
      </c>
      <c r="X38" s="180" t="str">
        <f t="shared" si="7"/>
        <v>Copenhagen</v>
      </c>
    </row>
    <row r="39" spans="1:24">
      <c r="A39" s="180"/>
      <c r="B39" s="180"/>
      <c r="C39" s="180"/>
      <c r="D39" s="180"/>
      <c r="E39" s="180"/>
      <c r="F39" s="180"/>
      <c r="G39" s="180"/>
      <c r="H39" s="180"/>
      <c r="I39" s="180"/>
      <c r="J39" s="180"/>
      <c r="K39" s="180"/>
      <c r="L39">
        <f>Себестоимости!A74</f>
        <v>42</v>
      </c>
      <c r="M39" t="str">
        <f>Себестоимости!B74</f>
        <v>Copenhagen</v>
      </c>
      <c r="N39" t="str">
        <f>Себестоимости!C74</f>
        <v>Микровельвет</v>
      </c>
      <c r="O39">
        <f>Себестоимости!D74</f>
        <v>0</v>
      </c>
      <c r="P39" t="str">
        <f>Себестоимости!E74</f>
        <v>Королевское золото</v>
      </c>
      <c r="Q39">
        <f>Себестоимости!F74</f>
        <v>300</v>
      </c>
      <c r="U39" s="180">
        <f t="shared" si="4"/>
        <v>0</v>
      </c>
      <c r="V39" s="180" t="str">
        <f t="shared" si="5"/>
        <v>№ 42 Copenhagen</v>
      </c>
      <c r="W39" s="180">
        <f t="shared" si="6"/>
        <v>42</v>
      </c>
      <c r="X39" s="180" t="str">
        <f t="shared" si="7"/>
        <v>Copenhagen</v>
      </c>
    </row>
    <row r="40" spans="1:24">
      <c r="L40">
        <f>Себестоимости!A75</f>
        <v>43</v>
      </c>
      <c r="M40" t="str">
        <f>Себестоимости!B75</f>
        <v>Profi gloss</v>
      </c>
      <c r="N40" t="str">
        <f>Себестоимости!C75</f>
        <v>Глянец мелованный</v>
      </c>
      <c r="O40">
        <f>Себестоимости!D75</f>
        <v>0</v>
      </c>
      <c r="P40" t="str">
        <f>Себестоимости!E75</f>
        <v>Белый</v>
      </c>
      <c r="Q40">
        <f>Себестоимости!F75</f>
        <v>300</v>
      </c>
      <c r="U40" s="180">
        <f t="shared" si="4"/>
        <v>0</v>
      </c>
      <c r="V40" s="180" t="str">
        <f t="shared" si="5"/>
        <v>№ 43 Profi gloss</v>
      </c>
      <c r="W40" s="180">
        <f t="shared" si="6"/>
        <v>43</v>
      </c>
      <c r="X40" s="180" t="str">
        <f t="shared" si="7"/>
        <v>Profi gloss</v>
      </c>
    </row>
    <row r="41" spans="1:24">
      <c r="L41">
        <f>Себестоимости!A76</f>
        <v>44</v>
      </c>
      <c r="M41" t="str">
        <f>Себестоимости!B76</f>
        <v>UPM DIGI</v>
      </c>
      <c r="N41" t="str">
        <f>Себестоимости!C76</f>
        <v>Матовый мелованный белый (стандарт)</v>
      </c>
      <c r="O41">
        <f>Себестоимости!D76</f>
        <v>0</v>
      </c>
      <c r="P41" t="str">
        <f>Себестоимости!E76</f>
        <v>Белый</v>
      </c>
      <c r="Q41">
        <f>Себестоимости!F76</f>
        <v>300</v>
      </c>
      <c r="U41" s="180">
        <f t="shared" si="4"/>
        <v>0</v>
      </c>
      <c r="V41" s="180" t="str">
        <f t="shared" si="5"/>
        <v>№ 44 UPM DIGI</v>
      </c>
      <c r="W41" s="180">
        <f t="shared" si="6"/>
        <v>44</v>
      </c>
      <c r="X41" s="180" t="str">
        <f t="shared" si="7"/>
        <v>UPM DIGI</v>
      </c>
    </row>
    <row r="42" spans="1:24">
      <c r="L42">
        <f>Себестоимости!A77</f>
        <v>45</v>
      </c>
      <c r="M42" t="str">
        <f>Себестоимости!B77</f>
        <v>Majestic</v>
      </c>
      <c r="N42" t="str">
        <f>Себестоимости!C77</f>
        <v>Гладкий</v>
      </c>
      <c r="O42">
        <f>Себестоимости!D77</f>
        <v>0</v>
      </c>
      <c r="P42" t="str">
        <f>Себестоимости!E77</f>
        <v>Волшебная свеча</v>
      </c>
      <c r="Q42">
        <f>Себестоимости!F77</f>
        <v>290</v>
      </c>
      <c r="U42" s="180">
        <f t="shared" si="4"/>
        <v>0</v>
      </c>
      <c r="V42" s="180" t="str">
        <f t="shared" si="5"/>
        <v>№ 45 Majestic</v>
      </c>
      <c r="W42" s="180">
        <f t="shared" si="6"/>
        <v>45</v>
      </c>
      <c r="X42" s="180" t="str">
        <f t="shared" si="7"/>
        <v>Majestic</v>
      </c>
    </row>
    <row r="43" spans="1:24">
      <c r="L43">
        <f>Себестоимости!A78</f>
        <v>46</v>
      </c>
      <c r="M43" t="str">
        <f>Себестоимости!B78</f>
        <v>Majestic</v>
      </c>
      <c r="N43" t="str">
        <f>Себестоимости!C78</f>
        <v>Гладкий</v>
      </c>
      <c r="O43">
        <f>Себестоимости!D78</f>
        <v>0</v>
      </c>
      <c r="P43" t="str">
        <f>Себестоимости!E78</f>
        <v>Сияние золота</v>
      </c>
      <c r="Q43">
        <f>Себестоимости!F78</f>
        <v>290</v>
      </c>
      <c r="U43" s="180">
        <f t="shared" si="4"/>
        <v>0</v>
      </c>
      <c r="V43" s="180" t="str">
        <f t="shared" si="5"/>
        <v>№ 46 Majestic</v>
      </c>
      <c r="W43" s="180">
        <f t="shared" si="6"/>
        <v>46</v>
      </c>
      <c r="X43" s="180" t="str">
        <f t="shared" si="7"/>
        <v>Majestic</v>
      </c>
    </row>
    <row r="44" spans="1:24">
      <c r="L44">
        <f>Себестоимости!A79</f>
        <v>47</v>
      </c>
      <c r="M44" t="str">
        <f>Себестоимости!B79</f>
        <v>Touch</v>
      </c>
      <c r="N44" t="str">
        <f>Себестоимости!C79</f>
        <v>Латекс</v>
      </c>
      <c r="O44">
        <f>Себестоимости!D79</f>
        <v>0</v>
      </c>
      <c r="P44" t="str">
        <f>Себестоимости!E79</f>
        <v>Чёрный</v>
      </c>
      <c r="Q44">
        <f>Себестоимости!F79</f>
        <v>301</v>
      </c>
      <c r="U44" s="180">
        <f t="shared" si="4"/>
        <v>0</v>
      </c>
      <c r="V44" s="180" t="str">
        <f t="shared" si="5"/>
        <v>№ 47 Touch</v>
      </c>
      <c r="W44" s="180">
        <f t="shared" si="6"/>
        <v>47</v>
      </c>
      <c r="X44" s="180" t="str">
        <f t="shared" si="7"/>
        <v>Touch</v>
      </c>
    </row>
    <row r="45" spans="1:24">
      <c r="L45">
        <f>Себестоимости!A80</f>
        <v>48</v>
      </c>
      <c r="M45" t="str">
        <f>Себестоимости!B80</f>
        <v>UPM DIGI</v>
      </c>
      <c r="N45" t="str">
        <f>Себестоимости!C80</f>
        <v>Матовый мелованный</v>
      </c>
      <c r="O45">
        <f>Себестоимости!D80</f>
        <v>0</v>
      </c>
      <c r="P45" t="str">
        <f>Себестоимости!E80</f>
        <v>Белый</v>
      </c>
      <c r="Q45">
        <f>Себестоимости!F80</f>
        <v>200</v>
      </c>
      <c r="U45" s="180">
        <f t="shared" si="4"/>
        <v>0</v>
      </c>
      <c r="V45" s="180" t="str">
        <f t="shared" si="5"/>
        <v>№ 48 UPM DIGI</v>
      </c>
      <c r="W45" s="180">
        <f t="shared" si="6"/>
        <v>48</v>
      </c>
      <c r="X45" s="180" t="str">
        <f t="shared" si="7"/>
        <v>UPM DIGI</v>
      </c>
    </row>
    <row r="46" spans="1:24">
      <c r="L46">
        <f>Себестоимости!A81</f>
        <v>49</v>
      </c>
      <c r="M46" t="str">
        <f>Себестоимости!B81</f>
        <v>DNS</v>
      </c>
      <c r="N46" t="str">
        <f>Себестоимости!C81</f>
        <v>Гладкий высоко белый (стандарт)</v>
      </c>
      <c r="O46">
        <f>Себестоимости!D81</f>
        <v>0</v>
      </c>
      <c r="P46" t="str">
        <f>Себестоимости!E81</f>
        <v>белый</v>
      </c>
      <c r="Q46">
        <f>Себестоимости!F81</f>
        <v>250</v>
      </c>
      <c r="U46" s="180">
        <f t="shared" si="4"/>
        <v>0</v>
      </c>
      <c r="V46" s="180" t="str">
        <f t="shared" si="5"/>
        <v>№ 49 DNS</v>
      </c>
      <c r="W46" s="180">
        <f t="shared" si="6"/>
        <v>49</v>
      </c>
      <c r="X46" s="180" t="str">
        <f t="shared" si="7"/>
        <v>DNS</v>
      </c>
    </row>
    <row r="47" spans="1:24">
      <c r="L47">
        <f>Себестоимости!A82</f>
        <v>50</v>
      </c>
      <c r="M47" t="str">
        <f>Себестоимости!B82</f>
        <v>Touch</v>
      </c>
      <c r="N47" t="str">
        <f>Себестоимости!C82</f>
        <v>Латекс</v>
      </c>
      <c r="O47">
        <f>Себестоимости!D82</f>
        <v>0</v>
      </c>
      <c r="P47" t="str">
        <f>Себестоимости!E82</f>
        <v>Оранжевый</v>
      </c>
      <c r="Q47">
        <f>Себестоимости!F82</f>
        <v>301</v>
      </c>
      <c r="U47" s="180">
        <f t="shared" si="4"/>
        <v>0</v>
      </c>
      <c r="V47" s="180" t="str">
        <f t="shared" si="5"/>
        <v>№ 50 Touch</v>
      </c>
      <c r="W47" s="180">
        <f t="shared" si="6"/>
        <v>50</v>
      </c>
      <c r="X47" s="180" t="str">
        <f t="shared" si="7"/>
        <v>Touch</v>
      </c>
    </row>
    <row r="48" spans="1:24">
      <c r="L48">
        <f>Себестоимости!A83</f>
        <v>52</v>
      </c>
      <c r="M48" t="str">
        <f>Себестоимости!B83</f>
        <v>Sugar</v>
      </c>
      <c r="N48" t="str">
        <f>Себестоимости!C83</f>
        <v>Гладкий</v>
      </c>
      <c r="O48">
        <f>Себестоимости!D83</f>
        <v>0</v>
      </c>
      <c r="P48" t="str">
        <f>Себестоимости!E83</f>
        <v>Тем. Серый</v>
      </c>
      <c r="Q48">
        <f>Себестоимости!F83</f>
        <v>300</v>
      </c>
      <c r="U48" s="180">
        <f t="shared" si="4"/>
        <v>0</v>
      </c>
      <c r="V48" s="180" t="str">
        <f t="shared" si="5"/>
        <v>№ 52 Sugar</v>
      </c>
      <c r="W48" s="180">
        <f t="shared" si="6"/>
        <v>52</v>
      </c>
      <c r="X48" s="180" t="str">
        <f t="shared" si="7"/>
        <v>Sugar</v>
      </c>
    </row>
    <row r="49" spans="12:24">
      <c r="L49">
        <f>Себестоимости!A84</f>
        <v>53</v>
      </c>
      <c r="M49" t="str">
        <f>Себестоимости!B84</f>
        <v>Sugar</v>
      </c>
      <c r="N49" t="str">
        <f>Себестоимости!C84</f>
        <v>Гладкий</v>
      </c>
      <c r="O49">
        <f>Себестоимости!D84</f>
        <v>0</v>
      </c>
      <c r="P49" t="str">
        <f>Себестоимости!E84</f>
        <v>Тём. Синий</v>
      </c>
      <c r="Q49">
        <f>Себестоимости!F84</f>
        <v>300</v>
      </c>
      <c r="U49" s="180">
        <f t="shared" si="4"/>
        <v>0</v>
      </c>
      <c r="V49" s="180" t="str">
        <f t="shared" si="5"/>
        <v>№ 53 Sugar</v>
      </c>
      <c r="W49" s="180">
        <f t="shared" si="6"/>
        <v>53</v>
      </c>
      <c r="X49" s="180" t="str">
        <f t="shared" si="7"/>
        <v>Sugar</v>
      </c>
    </row>
    <row r="50" spans="12:24">
      <c r="L50">
        <f>Себестоимости!A85</f>
        <v>54</v>
      </c>
      <c r="M50" t="str">
        <f>Себестоимости!B85</f>
        <v xml:space="preserve">Kernow </v>
      </c>
      <c r="N50" t="str">
        <f>Себестоимости!C85</f>
        <v>Металлизированный</v>
      </c>
      <c r="O50">
        <f>Себестоимости!D85</f>
        <v>0</v>
      </c>
      <c r="P50" t="str">
        <f>Себестоимости!E85</f>
        <v>Золото одностороннее</v>
      </c>
      <c r="Q50">
        <f>Себестоимости!F85</f>
        <v>100</v>
      </c>
      <c r="U50" s="180">
        <f t="shared" si="4"/>
        <v>0</v>
      </c>
      <c r="V50" s="180" t="str">
        <f t="shared" si="5"/>
        <v xml:space="preserve">№ 54 Kernow </v>
      </c>
      <c r="W50" s="180">
        <f t="shared" si="6"/>
        <v>54</v>
      </c>
      <c r="X50" s="180" t="str">
        <f t="shared" si="7"/>
        <v xml:space="preserve">Kernow </v>
      </c>
    </row>
    <row r="51" spans="12:24">
      <c r="L51">
        <f>Себестоимости!A86</f>
        <v>55</v>
      </c>
      <c r="M51" t="str">
        <f>Себестоимости!B86</f>
        <v>Touch</v>
      </c>
      <c r="N51" t="str">
        <f>Себестоимости!C86</f>
        <v>Латекс</v>
      </c>
      <c r="O51">
        <f>Себестоимости!D86</f>
        <v>0</v>
      </c>
      <c r="P51" t="str">
        <f>Себестоимости!E86</f>
        <v>Синий</v>
      </c>
      <c r="Q51">
        <f>Себестоимости!F86</f>
        <v>301</v>
      </c>
      <c r="U51" s="180">
        <f t="shared" si="4"/>
        <v>0</v>
      </c>
      <c r="V51" s="180" t="str">
        <f t="shared" si="5"/>
        <v>№ 55 Touch</v>
      </c>
      <c r="W51" s="180">
        <f t="shared" si="6"/>
        <v>55</v>
      </c>
      <c r="X51" s="180" t="str">
        <f t="shared" si="7"/>
        <v>Touch</v>
      </c>
    </row>
    <row r="52" spans="12:24">
      <c r="L52">
        <f>Себестоимости!A87</f>
        <v>56</v>
      </c>
      <c r="M52" t="str">
        <f>Себестоимости!B87</f>
        <v>Majestic</v>
      </c>
      <c r="N52" t="str">
        <f>Себестоимости!C87</f>
        <v>Гладкий</v>
      </c>
      <c r="O52">
        <f>Себестоимости!D87</f>
        <v>0</v>
      </c>
      <c r="P52" t="str">
        <f>Себестоимости!E87</f>
        <v>Хамелеон золотой свет</v>
      </c>
      <c r="Q52">
        <f>Себестоимости!F87</f>
        <v>250</v>
      </c>
      <c r="U52" s="180">
        <f t="shared" si="4"/>
        <v>0</v>
      </c>
      <c r="V52" s="180" t="str">
        <f t="shared" si="5"/>
        <v>№ 56 Majestic</v>
      </c>
      <c r="W52" s="180">
        <f t="shared" si="6"/>
        <v>56</v>
      </c>
      <c r="X52" s="180" t="str">
        <f t="shared" si="7"/>
        <v>Majestic</v>
      </c>
    </row>
    <row r="53" spans="12:24">
      <c r="L53">
        <f>Себестоимости!A88</f>
        <v>57</v>
      </c>
      <c r="M53" t="str">
        <f>Себестоимости!B88</f>
        <v>Majestic</v>
      </c>
      <c r="N53" t="str">
        <f>Себестоимости!C88</f>
        <v>Гладкий</v>
      </c>
      <c r="O53">
        <f>Себестоимости!D88</f>
        <v>0</v>
      </c>
      <c r="P53" t="str">
        <f>Себестоимости!E88</f>
        <v>Небо Дамаска</v>
      </c>
      <c r="Q53">
        <f>Себестоимости!F88</f>
        <v>290</v>
      </c>
      <c r="U53" s="180">
        <f t="shared" si="4"/>
        <v>0</v>
      </c>
      <c r="V53" s="180" t="str">
        <f t="shared" si="5"/>
        <v>№ 57 Majestic</v>
      </c>
      <c r="W53" s="180">
        <f t="shared" si="6"/>
        <v>57</v>
      </c>
      <c r="X53" s="180" t="str">
        <f t="shared" si="7"/>
        <v>Majestic</v>
      </c>
    </row>
    <row r="54" spans="12:24">
      <c r="L54">
        <f>Себестоимости!A89</f>
        <v>58</v>
      </c>
      <c r="M54" t="str">
        <f>Себестоимости!B89</f>
        <v>Touch</v>
      </c>
      <c r="N54" t="str">
        <f>Себестоимости!C89</f>
        <v>Латекс</v>
      </c>
      <c r="O54">
        <f>Себестоимости!D89</f>
        <v>0</v>
      </c>
      <c r="P54" t="str">
        <f>Себестоимости!E89</f>
        <v>Холодно-голубой</v>
      </c>
      <c r="Q54">
        <f>Себестоимости!F89</f>
        <v>301</v>
      </c>
      <c r="U54" s="180">
        <f t="shared" si="4"/>
        <v>0</v>
      </c>
      <c r="V54" s="180" t="str">
        <f t="shared" si="5"/>
        <v>№ 58 Touch</v>
      </c>
      <c r="W54" s="180">
        <f t="shared" si="6"/>
        <v>58</v>
      </c>
      <c r="X54" s="180" t="str">
        <f t="shared" si="7"/>
        <v>Touch</v>
      </c>
    </row>
    <row r="55" spans="12:24">
      <c r="L55">
        <f>Себестоимости!A90</f>
        <v>59</v>
      </c>
      <c r="M55" t="str">
        <f>Себестоимости!B90</f>
        <v>Majestic</v>
      </c>
      <c r="N55" t="str">
        <f>Себестоимости!C90</f>
        <v>Гладкий</v>
      </c>
      <c r="O55">
        <f>Себестоимости!D90</f>
        <v>0</v>
      </c>
      <c r="P55" t="str">
        <f>Себестоимости!E90</f>
        <v>Лунное серебро</v>
      </c>
      <c r="Q55">
        <f>Себестоимости!F90</f>
        <v>290</v>
      </c>
      <c r="U55" s="180">
        <f t="shared" si="4"/>
        <v>0</v>
      </c>
      <c r="V55" s="180" t="str">
        <f t="shared" si="5"/>
        <v>№ 59 Majestic</v>
      </c>
      <c r="W55" s="180">
        <f t="shared" si="6"/>
        <v>59</v>
      </c>
      <c r="X55" s="180" t="str">
        <f t="shared" si="7"/>
        <v>Majestic</v>
      </c>
    </row>
    <row r="56" spans="12:24">
      <c r="L56">
        <f>Себестоимости!A91</f>
        <v>60</v>
      </c>
      <c r="M56" t="str">
        <f>Себестоимости!B91</f>
        <v>Majestic</v>
      </c>
      <c r="N56" t="str">
        <f>Себестоимости!C91</f>
        <v>Гладкий</v>
      </c>
      <c r="O56">
        <f>Себестоимости!D91</f>
        <v>0</v>
      </c>
      <c r="P56" t="str">
        <f>Себестоимости!E91</f>
        <v>Зелёный сад</v>
      </c>
      <c r="Q56">
        <f>Себестоимости!F91</f>
        <v>290</v>
      </c>
      <c r="U56" s="180">
        <f t="shared" si="4"/>
        <v>0</v>
      </c>
      <c r="V56" s="180" t="str">
        <f t="shared" si="5"/>
        <v>№ 60 Majestic</v>
      </c>
      <c r="W56" s="180">
        <f t="shared" si="6"/>
        <v>60</v>
      </c>
      <c r="X56" s="180" t="str">
        <f t="shared" si="7"/>
        <v>Majestic</v>
      </c>
    </row>
    <row r="57" spans="12:24">
      <c r="L57">
        <f>Себестоимости!A92</f>
        <v>61</v>
      </c>
      <c r="M57" t="str">
        <f>Себестоимости!B92</f>
        <v>Majestic</v>
      </c>
      <c r="N57" t="str">
        <f>Себестоимости!C92</f>
        <v>Гладкий</v>
      </c>
      <c r="O57">
        <f>Себестоимости!D92</f>
        <v>0</v>
      </c>
      <c r="P57" t="str">
        <f>Себестоимости!E92</f>
        <v>Бронза</v>
      </c>
      <c r="Q57">
        <f>Себестоимости!F92</f>
        <v>290</v>
      </c>
      <c r="U57" s="180">
        <f t="shared" si="4"/>
        <v>0</v>
      </c>
      <c r="V57" s="180" t="str">
        <f t="shared" si="5"/>
        <v>№ 61 Majestic</v>
      </c>
      <c r="W57" s="180">
        <f t="shared" si="6"/>
        <v>61</v>
      </c>
      <c r="X57" s="180" t="str">
        <f t="shared" si="7"/>
        <v>Majestic</v>
      </c>
    </row>
    <row r="58" spans="12:24">
      <c r="L58">
        <f>Себестоимости!A93</f>
        <v>63</v>
      </c>
      <c r="M58" t="str">
        <f>Себестоимости!B93</f>
        <v>Majestic</v>
      </c>
      <c r="N58" t="str">
        <f>Себестоимости!C93</f>
        <v>Гладкий</v>
      </c>
      <c r="O58">
        <f>Себестоимости!D93</f>
        <v>0</v>
      </c>
      <c r="P58" t="str">
        <f>Себестоимости!E93</f>
        <v>Мята</v>
      </c>
      <c r="Q58">
        <f>Себестоимости!F93</f>
        <v>290</v>
      </c>
      <c r="U58" s="180">
        <f t="shared" si="4"/>
        <v>0</v>
      </c>
      <c r="V58" s="180" t="str">
        <f t="shared" si="5"/>
        <v>№ 63 Majestic</v>
      </c>
      <c r="W58" s="180">
        <f t="shared" si="6"/>
        <v>63</v>
      </c>
      <c r="X58" s="180" t="str">
        <f t="shared" si="7"/>
        <v>Majestic</v>
      </c>
    </row>
    <row r="59" spans="12:24">
      <c r="L59">
        <f>Себестоимости!A94</f>
        <v>64</v>
      </c>
      <c r="M59" t="str">
        <f>Себестоимости!B94</f>
        <v>Touch</v>
      </c>
      <c r="N59" t="str">
        <f>Себестоимости!C94</f>
        <v>Латекс</v>
      </c>
      <c r="O59">
        <f>Себестоимости!D94</f>
        <v>0</v>
      </c>
      <c r="P59" t="str">
        <f>Себестоимости!E94</f>
        <v>Слоновая кость</v>
      </c>
      <c r="Q59">
        <f>Себестоимости!F94</f>
        <v>301</v>
      </c>
      <c r="U59" s="180">
        <f t="shared" si="4"/>
        <v>0</v>
      </c>
      <c r="V59" s="180" t="str">
        <f t="shared" si="5"/>
        <v>№ 64 Touch</v>
      </c>
      <c r="W59" s="180">
        <f t="shared" si="6"/>
        <v>64</v>
      </c>
      <c r="X59" s="180" t="str">
        <f t="shared" si="7"/>
        <v>Touch</v>
      </c>
    </row>
    <row r="60" spans="12:24">
      <c r="L60">
        <f>Себестоимости!A95</f>
        <v>65</v>
      </c>
      <c r="M60" t="str">
        <f>Себестоимости!B95</f>
        <v>Touch</v>
      </c>
      <c r="N60" t="str">
        <f>Себестоимости!C95</f>
        <v>Латекс</v>
      </c>
      <c r="O60">
        <f>Себестоимости!D95</f>
        <v>0</v>
      </c>
      <c r="P60" t="str">
        <f>Себестоимости!E95</f>
        <v>Ярко-красный</v>
      </c>
      <c r="Q60">
        <f>Себестоимости!F95</f>
        <v>301</v>
      </c>
      <c r="U60" s="180">
        <f t="shared" si="4"/>
        <v>0</v>
      </c>
      <c r="V60" s="180" t="str">
        <f t="shared" si="5"/>
        <v>№ 65 Touch</v>
      </c>
      <c r="W60" s="180">
        <f t="shared" si="6"/>
        <v>65</v>
      </c>
      <c r="X60" s="180" t="str">
        <f t="shared" si="7"/>
        <v>Touch</v>
      </c>
    </row>
    <row r="61" spans="12:24">
      <c r="L61">
        <f>Себестоимости!A96</f>
        <v>66</v>
      </c>
      <c r="M61" t="str">
        <f>Себестоимости!B96</f>
        <v>COPENHAGEN</v>
      </c>
      <c r="N61" t="str">
        <f>Себестоимости!C96</f>
        <v>Микровельвет</v>
      </c>
      <c r="O61">
        <f>Себестоимости!D96</f>
        <v>0</v>
      </c>
      <c r="P61" t="str">
        <f>Себестоимости!E96</f>
        <v>брильянт</v>
      </c>
      <c r="Q61">
        <f>Себестоимости!F96</f>
        <v>300</v>
      </c>
      <c r="U61" s="180">
        <f t="shared" si="4"/>
        <v>0</v>
      </c>
      <c r="V61" s="180" t="str">
        <f t="shared" si="5"/>
        <v>№ 66 COPENHAGEN</v>
      </c>
      <c r="W61" s="180">
        <f t="shared" si="6"/>
        <v>66</v>
      </c>
      <c r="X61" s="180" t="str">
        <f t="shared" si="7"/>
        <v>COPENHAGEN</v>
      </c>
    </row>
    <row r="62" spans="12:24">
      <c r="L62">
        <f>Себестоимости!A97</f>
        <v>67</v>
      </c>
      <c r="M62" t="str">
        <f>Себестоимости!B97</f>
        <v>Contrast</v>
      </c>
      <c r="N62" t="str">
        <f>Себестоимости!C97</f>
        <v>Верже</v>
      </c>
      <c r="O62">
        <f>Себестоимости!D97</f>
        <v>0</v>
      </c>
      <c r="P62" t="str">
        <f>Себестоимости!E97</f>
        <v>Слоновая кость</v>
      </c>
      <c r="Q62">
        <f>Себестоимости!F97</f>
        <v>224</v>
      </c>
      <c r="U62" s="180">
        <f t="shared" si="4"/>
        <v>0</v>
      </c>
      <c r="V62" s="180" t="str">
        <f t="shared" si="5"/>
        <v>№ 67 Contrast</v>
      </c>
      <c r="W62" s="180">
        <f t="shared" si="6"/>
        <v>67</v>
      </c>
      <c r="X62" s="180" t="str">
        <f t="shared" si="7"/>
        <v>Contrast</v>
      </c>
    </row>
    <row r="63" spans="12:24">
      <c r="L63">
        <f>Себестоимости!A98</f>
        <v>69</v>
      </c>
      <c r="M63" t="str">
        <f>Себестоимости!B98</f>
        <v>Majestic</v>
      </c>
      <c r="N63" t="str">
        <f>Себестоимости!C98</f>
        <v>Гладкий</v>
      </c>
      <c r="O63">
        <f>Себестоимости!D98</f>
        <v>0</v>
      </c>
      <c r="P63" t="str">
        <f>Себестоимости!E98</f>
        <v>Розовый металлик</v>
      </c>
      <c r="Q63">
        <f>Себестоимости!F98</f>
        <v>290</v>
      </c>
      <c r="U63" s="180">
        <f t="shared" si="4"/>
        <v>0</v>
      </c>
      <c r="V63" s="180" t="str">
        <f t="shared" si="5"/>
        <v>№ 69 Majestic</v>
      </c>
      <c r="W63" s="180">
        <f t="shared" si="6"/>
        <v>69</v>
      </c>
      <c r="X63" s="180" t="str">
        <f t="shared" si="7"/>
        <v>Majestic</v>
      </c>
    </row>
    <row r="64" spans="12:24">
      <c r="L64">
        <f>Себестоимости!A99</f>
        <v>70</v>
      </c>
      <c r="M64" t="str">
        <f>Себестоимости!B99</f>
        <v>New eurocolor</v>
      </c>
      <c r="N64" t="str">
        <f>Себестоимости!C99</f>
        <v>Кожа</v>
      </c>
      <c r="O64">
        <f>Себестоимости!D99</f>
        <v>0</v>
      </c>
      <c r="P64" t="str">
        <f>Себестоимости!E99</f>
        <v>слоновая кость</v>
      </c>
      <c r="Q64">
        <f>Себестоимости!F99</f>
        <v>250</v>
      </c>
      <c r="U64" s="180">
        <f t="shared" si="4"/>
        <v>0</v>
      </c>
      <c r="V64" s="180" t="str">
        <f t="shared" si="5"/>
        <v>№ 70 New eurocolor</v>
      </c>
      <c r="W64" s="180">
        <f t="shared" si="6"/>
        <v>70</v>
      </c>
      <c r="X64" s="180" t="str">
        <f t="shared" si="7"/>
        <v>New eurocolor</v>
      </c>
    </row>
    <row r="65" spans="1:24">
      <c r="A65" t="str">
        <f>Форматы!A3</f>
        <v>90*50 (Визитки цифра)</v>
      </c>
      <c r="E65" t="s">
        <v>142</v>
      </c>
      <c r="I65" t="s">
        <v>295</v>
      </c>
      <c r="J65" t="s">
        <v>156</v>
      </c>
      <c r="L65">
        <f>Себестоимости!A100</f>
        <v>71</v>
      </c>
      <c r="M65" t="str">
        <f>Себестоимости!B100</f>
        <v>New eurocolor</v>
      </c>
      <c r="N65" t="str">
        <f>Себестоимости!C100</f>
        <v>Кожа</v>
      </c>
      <c r="O65">
        <f>Себестоимости!D100</f>
        <v>0</v>
      </c>
      <c r="P65" t="str">
        <f>Себестоимости!E100</f>
        <v>белый</v>
      </c>
      <c r="Q65">
        <f>Себестоимости!F100</f>
        <v>250</v>
      </c>
      <c r="U65" s="180">
        <f t="shared" si="4"/>
        <v>0</v>
      </c>
      <c r="V65" s="180" t="str">
        <f t="shared" si="5"/>
        <v>№ 71 New eurocolor</v>
      </c>
      <c r="W65" s="180">
        <f t="shared" si="6"/>
        <v>71</v>
      </c>
      <c r="X65" s="180" t="str">
        <f t="shared" si="7"/>
        <v>New eurocolor</v>
      </c>
    </row>
    <row r="66" spans="1:24">
      <c r="A66" t="str">
        <f>Форматы!A4</f>
        <v>100х70 (Карманный календарь)</v>
      </c>
      <c r="E66" t="s">
        <v>293</v>
      </c>
      <c r="I66" t="s">
        <v>93</v>
      </c>
      <c r="J66" t="s">
        <v>296</v>
      </c>
      <c r="L66">
        <f>Себестоимости!A101</f>
        <v>72</v>
      </c>
      <c r="M66" t="str">
        <f>Себестоимости!B101</f>
        <v>ECOLINE BROWN</v>
      </c>
      <c r="N66" t="str">
        <f>Себестоимости!C101</f>
        <v>крафт</v>
      </c>
      <c r="O66">
        <f>Себестоимости!D101</f>
        <v>0</v>
      </c>
      <c r="P66" t="str">
        <f>Себестоимости!E101</f>
        <v>крафт</v>
      </c>
      <c r="Q66">
        <f>Себестоимости!F101</f>
        <v>120</v>
      </c>
      <c r="U66" s="180">
        <f t="shared" si="4"/>
        <v>0</v>
      </c>
      <c r="V66" s="180" t="str">
        <f t="shared" si="5"/>
        <v>№ 72 ECOLINE BROWN</v>
      </c>
      <c r="W66" s="180">
        <f t="shared" si="6"/>
        <v>72</v>
      </c>
      <c r="X66" s="180" t="str">
        <f t="shared" si="7"/>
        <v>ECOLINE BROWN</v>
      </c>
    </row>
    <row r="67" spans="1:24">
      <c r="A67" t="str">
        <f>Форматы!A5</f>
        <v>150х70 (Денежка)</v>
      </c>
      <c r="E67" t="s">
        <v>294</v>
      </c>
      <c r="H67" t="str">
        <f>Аксессуры!A3</f>
        <v>Без ламинации</v>
      </c>
      <c r="J67" t="s">
        <v>297</v>
      </c>
      <c r="L67">
        <f>Себестоимости!A102</f>
        <v>73</v>
      </c>
      <c r="M67" t="str">
        <f>Себестоимости!B102</f>
        <v>BURANO</v>
      </c>
      <c r="N67" t="str">
        <f>Себестоимости!C102</f>
        <v>Гладкий</v>
      </c>
      <c r="O67">
        <f>Себестоимости!D102</f>
        <v>0</v>
      </c>
      <c r="P67" t="str">
        <f>Себестоимости!E102</f>
        <v>зеленый</v>
      </c>
      <c r="Q67">
        <f>Себестоимости!F102</f>
        <v>250</v>
      </c>
      <c r="U67" s="180">
        <f t="shared" si="4"/>
        <v>0</v>
      </c>
      <c r="V67" s="180" t="str">
        <f t="shared" si="5"/>
        <v>№ 73 BURANO</v>
      </c>
      <c r="W67" s="180">
        <f t="shared" si="6"/>
        <v>73</v>
      </c>
      <c r="X67" s="180" t="str">
        <f t="shared" si="7"/>
        <v>BURANO</v>
      </c>
    </row>
    <row r="68" spans="1:24">
      <c r="A68" t="str">
        <f>Форматы!A6</f>
        <v>210х98 (Евро флаер)</v>
      </c>
      <c r="H68" t="str">
        <f>Аксессуры!A4</f>
        <v xml:space="preserve">32мкр.  глянец Ламинация Рулон </v>
      </c>
      <c r="L68">
        <f>Себестоимости!A103</f>
        <v>74</v>
      </c>
      <c r="M68" t="str">
        <f>Себестоимости!B103</f>
        <v>BURANO</v>
      </c>
      <c r="N68" t="str">
        <f>Себестоимости!C103</f>
        <v>Гладкий</v>
      </c>
      <c r="O68">
        <f>Себестоимости!D103</f>
        <v>0</v>
      </c>
      <c r="P68" t="str">
        <f>Себестоимости!E103</f>
        <v>красный</v>
      </c>
      <c r="Q68">
        <f>Себестоимости!F103</f>
        <v>250</v>
      </c>
      <c r="U68" s="180">
        <f t="shared" si="4"/>
        <v>0</v>
      </c>
      <c r="V68" s="180" t="str">
        <f t="shared" si="5"/>
        <v>№ 74 BURANO</v>
      </c>
      <c r="W68" s="180">
        <f t="shared" si="6"/>
        <v>74</v>
      </c>
      <c r="X68" s="180" t="str">
        <f t="shared" si="7"/>
        <v>BURANO</v>
      </c>
    </row>
    <row r="69" spans="1:24">
      <c r="A69" t="str">
        <f>Форматы!A7</f>
        <v> 297х420 (А3)</v>
      </c>
      <c r="H69" t="str">
        <f>Аксессуры!A5</f>
        <v>Ламинация 32мкр.  Рулон матовый</v>
      </c>
      <c r="L69">
        <f>Себестоимости!A104</f>
        <v>75</v>
      </c>
      <c r="M69" t="str">
        <f>Себестоимости!B104</f>
        <v>BURANO</v>
      </c>
      <c r="N69" t="str">
        <f>Себестоимости!C104</f>
        <v>Гладкий</v>
      </c>
      <c r="O69">
        <f>Себестоимости!D104</f>
        <v>0</v>
      </c>
      <c r="P69" t="str">
        <f>Себестоимости!E104</f>
        <v>синий</v>
      </c>
      <c r="Q69">
        <f>Себестоимости!F104</f>
        <v>250</v>
      </c>
      <c r="U69" s="180">
        <f t="shared" si="4"/>
        <v>0</v>
      </c>
      <c r="V69" s="180" t="str">
        <f t="shared" si="5"/>
        <v>№ 75 BURANO</v>
      </c>
      <c r="W69" s="180">
        <f t="shared" si="6"/>
        <v>75</v>
      </c>
      <c r="X69" s="180" t="str">
        <f t="shared" si="7"/>
        <v>BURANO</v>
      </c>
    </row>
    <row r="70" spans="1:24">
      <c r="A70" t="str">
        <f>Форматы!A8</f>
        <v> 210х297 (А4)</v>
      </c>
      <c r="H70" t="str">
        <f>Аксессуры!A6</f>
        <v xml:space="preserve">75 мкр. Глянец </v>
      </c>
      <c r="J70" t="s">
        <v>93</v>
      </c>
      <c r="K70">
        <f>IF(K19=J70,0,0)</f>
        <v>0</v>
      </c>
      <c r="L70">
        <f>Себестоимости!A105</f>
        <v>76</v>
      </c>
      <c r="M70" t="str">
        <f>Себестоимости!B105</f>
        <v>XP люкс</v>
      </c>
      <c r="N70" t="str">
        <f>Себестоимости!C105</f>
        <v>1 стр гладкий</v>
      </c>
      <c r="O70">
        <f>Себестоимости!D105</f>
        <v>0</v>
      </c>
      <c r="P70" t="str">
        <f>Себестоимости!E105</f>
        <v>Белый глянец</v>
      </c>
      <c r="Q70">
        <f>Себестоимости!F105</f>
        <v>350</v>
      </c>
      <c r="U70" s="180">
        <f t="shared" si="4"/>
        <v>0</v>
      </c>
      <c r="V70" s="180" t="str">
        <f t="shared" si="5"/>
        <v>№ 76 XP люкс</v>
      </c>
      <c r="W70" s="180">
        <f t="shared" si="6"/>
        <v>76</v>
      </c>
      <c r="X70" s="180" t="str">
        <f t="shared" si="7"/>
        <v>XP люкс</v>
      </c>
    </row>
    <row r="71" spans="1:24">
      <c r="A71" t="str">
        <f>Форматы!A9</f>
        <v>148х210 (А5)</v>
      </c>
      <c r="H71" t="str">
        <f>Аксессуры!A7</f>
        <v>Ламинация 75мкр.  Рулон матовый</v>
      </c>
      <c r="J71" t="s">
        <v>721</v>
      </c>
      <c r="K71">
        <f>IF(K19=J71,Себестоимости!G187*Форматы!$N$2,0)</f>
        <v>0</v>
      </c>
      <c r="L71">
        <f>Себестоимости!A106</f>
        <v>77</v>
      </c>
      <c r="M71" t="str">
        <f>Себестоимости!B106</f>
        <v>XP люкс</v>
      </c>
      <c r="N71" t="str">
        <f>Себестоимости!C106</f>
        <v>1 стр гладкий</v>
      </c>
      <c r="O71">
        <f>Себестоимости!D106</f>
        <v>0</v>
      </c>
      <c r="P71" t="str">
        <f>Себестоимости!E106</f>
        <v>Красный</v>
      </c>
      <c r="Q71">
        <f>Себестоимости!F106</f>
        <v>300</v>
      </c>
      <c r="U71" s="180">
        <f t="shared" si="4"/>
        <v>0</v>
      </c>
      <c r="V71" s="180" t="str">
        <f t="shared" si="5"/>
        <v>№ 77 XP люкс</v>
      </c>
      <c r="W71" s="180">
        <f t="shared" si="6"/>
        <v>77</v>
      </c>
      <c r="X71" s="180" t="str">
        <f t="shared" si="7"/>
        <v>XP люкс</v>
      </c>
    </row>
    <row r="72" spans="1:24">
      <c r="A72" t="str">
        <f>Форматы!A10</f>
        <v>105х148 (А6)</v>
      </c>
      <c r="H72" t="str">
        <f>Аксессуры!A8</f>
        <v>100 мкр. Глянец</v>
      </c>
      <c r="J72" t="s">
        <v>720</v>
      </c>
      <c r="K72">
        <f>IF(K19=J72,Себестоимости!G188*Форматы!$N$2,0)</f>
        <v>0</v>
      </c>
      <c r="L72">
        <f>Себестоимости!A107</f>
        <v>78</v>
      </c>
      <c r="M72" t="str">
        <f>Себестоимости!B107</f>
        <v>XP люкс</v>
      </c>
      <c r="N72" t="str">
        <f>Себестоимости!C107</f>
        <v>1 стр гладкий</v>
      </c>
      <c r="O72">
        <f>Себестоимости!D107</f>
        <v>0</v>
      </c>
      <c r="P72" t="str">
        <f>Себестоимости!E107</f>
        <v>Ваниль</v>
      </c>
      <c r="Q72">
        <f>Себестоимости!F107</f>
        <v>300</v>
      </c>
      <c r="U72" s="180">
        <f t="shared" si="4"/>
        <v>0</v>
      </c>
      <c r="V72" s="180" t="str">
        <f t="shared" si="5"/>
        <v>№ 78 XP люкс</v>
      </c>
      <c r="W72" s="180">
        <f t="shared" si="6"/>
        <v>78</v>
      </c>
      <c r="X72" s="180" t="str">
        <f t="shared" si="7"/>
        <v>XP люкс</v>
      </c>
    </row>
    <row r="73" spans="1:24">
      <c r="A73" t="str">
        <f>Форматы!A11</f>
        <v>50х50 (Минивизитка)</v>
      </c>
      <c r="H73" t="str">
        <f>Аксессуры!A9</f>
        <v>125 мкр. Глянец</v>
      </c>
      <c r="J73" t="s">
        <v>1227</v>
      </c>
      <c r="K73">
        <f>IF(K19=J73,Себестоимости!G189*Форматы!$N$2,0)</f>
        <v>0</v>
      </c>
      <c r="L73">
        <f>Себестоимости!A108</f>
        <v>79</v>
      </c>
      <c r="M73" t="str">
        <f>Себестоимости!B108</f>
        <v>Cocktail</v>
      </c>
      <c r="N73" t="str">
        <f>Себестоимости!C108</f>
        <v>Гладкий</v>
      </c>
      <c r="O73">
        <f>Себестоимости!D108</f>
        <v>0</v>
      </c>
      <c r="P73" t="str">
        <f>Себестоимости!E108</f>
        <v>Белое золото</v>
      </c>
      <c r="Q73">
        <f>Себестоимости!F108</f>
        <v>290</v>
      </c>
      <c r="U73" s="180">
        <f t="shared" si="4"/>
        <v>0</v>
      </c>
      <c r="V73" s="180" t="str">
        <f t="shared" si="5"/>
        <v>№ 79 Cocktail</v>
      </c>
      <c r="W73" s="180">
        <f t="shared" si="6"/>
        <v>79</v>
      </c>
      <c r="X73" s="180" t="str">
        <f t="shared" si="7"/>
        <v>Cocktail</v>
      </c>
    </row>
    <row r="74" spans="1:24">
      <c r="A74" t="str">
        <f>Форматы!A12</f>
        <v>210х200</v>
      </c>
      <c r="E74" t="s">
        <v>975</v>
      </c>
      <c r="H74" t="str">
        <f>Аксессуры!A10</f>
        <v>Ламинация 125мкр.  Рулон матовый</v>
      </c>
      <c r="J74" t="s">
        <v>1228</v>
      </c>
      <c r="K74">
        <f>IF(K19=J74,Себестоимости!G190*Форматы!$N$2,0)</f>
        <v>0</v>
      </c>
      <c r="L74">
        <f>Себестоимости!A109</f>
        <v>80</v>
      </c>
      <c r="M74" t="str">
        <f>Себестоимости!B109</f>
        <v>Cocktail</v>
      </c>
      <c r="N74" t="str">
        <f>Себестоимости!C109</f>
        <v>Гладкий</v>
      </c>
      <c r="O74">
        <f>Себестоимости!D109</f>
        <v>0</v>
      </c>
      <c r="P74" t="str">
        <f>Себестоимости!E109</f>
        <v>Белый металлик</v>
      </c>
      <c r="Q74">
        <f>Себестоимости!F109</f>
        <v>290</v>
      </c>
      <c r="U74" s="180">
        <f t="shared" si="4"/>
        <v>0</v>
      </c>
      <c r="V74" s="180" t="str">
        <f t="shared" si="5"/>
        <v>№ 80 Cocktail</v>
      </c>
      <c r="W74" s="180">
        <f t="shared" si="6"/>
        <v>80</v>
      </c>
      <c r="X74" s="180" t="str">
        <f t="shared" si="7"/>
        <v>Cocktail</v>
      </c>
    </row>
    <row r="75" spans="1:24">
      <c r="A75" t="str">
        <f>Форматы!A13</f>
        <v>120х120 (Компакт диск)</v>
      </c>
      <c r="E75" t="s">
        <v>976</v>
      </c>
      <c r="H75" t="str">
        <f>Аксессуры!A11</f>
        <v>250 мкр. Глянец</v>
      </c>
      <c r="L75">
        <f>Себестоимости!A110</f>
        <v>81</v>
      </c>
      <c r="M75" t="str">
        <f>Себестоимости!B110</f>
        <v>Cocktail</v>
      </c>
      <c r="N75" t="str">
        <f>Себестоимости!C110</f>
        <v>Гладкий</v>
      </c>
      <c r="O75">
        <f>Себестоимости!D110</f>
        <v>0</v>
      </c>
      <c r="P75" t="str">
        <f>Себестоимости!E110</f>
        <v>Лиловый металлик</v>
      </c>
      <c r="Q75">
        <f>Себестоимости!F110</f>
        <v>290</v>
      </c>
      <c r="U75" s="180">
        <f t="shared" si="4"/>
        <v>0</v>
      </c>
      <c r="V75" s="180" t="str">
        <f t="shared" si="5"/>
        <v>№ 81 Cocktail</v>
      </c>
      <c r="W75" s="180">
        <f t="shared" si="6"/>
        <v>81</v>
      </c>
      <c r="X75" s="180" t="str">
        <f t="shared" si="7"/>
        <v>Cocktail</v>
      </c>
    </row>
    <row r="76" spans="1:24">
      <c r="A76" t="str">
        <f>Форматы!A14</f>
        <v>50х70</v>
      </c>
      <c r="H76" t="str">
        <f>Аксессуры!A12</f>
        <v>Тач ламинация 35 мкр.</v>
      </c>
      <c r="L76">
        <f>Себестоимости!A111</f>
        <v>82</v>
      </c>
      <c r="M76" t="str">
        <f>Себестоимости!B111</f>
        <v>Cocktail</v>
      </c>
      <c r="N76" t="str">
        <f>Себестоимости!C111</f>
        <v>Гладкий</v>
      </c>
      <c r="O76">
        <f>Себестоимости!D111</f>
        <v>0</v>
      </c>
      <c r="P76" t="str">
        <f>Себестоимости!E111</f>
        <v>Мятный металлик</v>
      </c>
      <c r="Q76">
        <f>Себестоимости!F111</f>
        <v>290</v>
      </c>
      <c r="U76" s="180">
        <f t="shared" si="4"/>
        <v>0</v>
      </c>
      <c r="V76" s="180" t="str">
        <f t="shared" si="5"/>
        <v>№ 82 Cocktail</v>
      </c>
      <c r="W76" s="180">
        <f t="shared" si="6"/>
        <v>82</v>
      </c>
      <c r="X76" s="180" t="str">
        <f t="shared" si="7"/>
        <v>Cocktail</v>
      </c>
    </row>
    <row r="77" spans="1:24">
      <c r="A77" t="str">
        <f>Форматы!A15</f>
        <v>70х70</v>
      </c>
      <c r="H77" t="str">
        <f>Аксессуры!A13</f>
        <v>Лён ламинация 50 мкр.</v>
      </c>
      <c r="L77">
        <f>Себестоимости!A112</f>
        <v>83</v>
      </c>
      <c r="M77" t="str">
        <f>Себестоимости!B112</f>
        <v>Cocktail</v>
      </c>
      <c r="N77" t="str">
        <f>Себестоимости!C112</f>
        <v>Гладкий</v>
      </c>
      <c r="O77">
        <f>Себестоимости!D112</f>
        <v>0</v>
      </c>
      <c r="P77" t="str">
        <f>Себестоимости!E112</f>
        <v>Оранжевый металлик</v>
      </c>
      <c r="Q77">
        <f>Себестоимости!F112</f>
        <v>290</v>
      </c>
      <c r="U77" s="180">
        <f t="shared" si="4"/>
        <v>0</v>
      </c>
      <c r="V77" s="180" t="str">
        <f t="shared" si="5"/>
        <v>№ 83 Cocktail</v>
      </c>
      <c r="W77" s="180">
        <f t="shared" si="6"/>
        <v>83</v>
      </c>
      <c r="X77" s="180" t="str">
        <f t="shared" si="7"/>
        <v>Cocktail</v>
      </c>
    </row>
    <row r="78" spans="1:24">
      <c r="A78" t="str">
        <f>Форматы!A16</f>
        <v>60х90</v>
      </c>
      <c r="H78" t="str">
        <f>Аксессуры!A14</f>
        <v>Зеркальная плёнка 30 мкр.</v>
      </c>
      <c r="L78">
        <f>Себестоимости!A113</f>
        <v>84</v>
      </c>
      <c r="M78" t="str">
        <f>Себестоимости!B113</f>
        <v>Copenhagen</v>
      </c>
      <c r="N78" t="str">
        <f>Себестоимости!C113</f>
        <v>Микровельвет</v>
      </c>
      <c r="O78">
        <f>Себестоимости!D113</f>
        <v>0</v>
      </c>
      <c r="P78" t="str">
        <f>Себестоимости!E113</f>
        <v>Золото</v>
      </c>
      <c r="Q78">
        <f>Себестоимости!F113</f>
        <v>300</v>
      </c>
      <c r="U78" s="180">
        <f t="shared" si="4"/>
        <v>0</v>
      </c>
      <c r="V78" s="180" t="str">
        <f t="shared" si="5"/>
        <v>№ 84 Copenhagen</v>
      </c>
      <c r="W78" s="180">
        <f t="shared" si="6"/>
        <v>84</v>
      </c>
      <c r="X78" s="180" t="str">
        <f t="shared" si="7"/>
        <v>Copenhagen</v>
      </c>
    </row>
    <row r="79" spans="1:24">
      <c r="A79" t="str">
        <f>Форматы!A17</f>
        <v>90х90</v>
      </c>
      <c r="H79" t="str">
        <f>Аксессуры!A15</f>
        <v>Глянец с клеющим слоем</v>
      </c>
      <c r="L79">
        <f>Себестоимости!A114</f>
        <v>85</v>
      </c>
      <c r="M79" t="str">
        <f>Себестоимости!B114</f>
        <v>Millenium</v>
      </c>
      <c r="N79" t="str">
        <f>Себестоимости!C114</f>
        <v>Гладкий</v>
      </c>
      <c r="O79">
        <f>Себестоимости!D114</f>
        <v>0</v>
      </c>
      <c r="P79" t="str">
        <f>Себестоимости!E114</f>
        <v>Настоящее золото</v>
      </c>
      <c r="Q79">
        <f>Себестоимости!F114</f>
        <v>280</v>
      </c>
      <c r="U79" s="180">
        <f t="shared" si="4"/>
        <v>0</v>
      </c>
      <c r="V79" s="180" t="str">
        <f t="shared" si="5"/>
        <v>№ 85 Millenium</v>
      </c>
      <c r="W79" s="180">
        <f t="shared" si="6"/>
        <v>85</v>
      </c>
      <c r="X79" s="180" t="str">
        <f t="shared" si="7"/>
        <v>Millenium</v>
      </c>
    </row>
    <row r="80" spans="1:24">
      <c r="A80" t="str">
        <f>Форматы!A18</f>
        <v>49х200</v>
      </c>
      <c r="H80" t="str">
        <f>Аксессуры!A16</f>
        <v>Светящая пленка (фотолюминисцент)</v>
      </c>
      <c r="L80">
        <f>Себестоимости!A115</f>
        <v>86</v>
      </c>
      <c r="M80" t="str">
        <f>Себестоимости!B115</f>
        <v>Millenium</v>
      </c>
      <c r="N80" t="str">
        <f>Себестоимости!C115</f>
        <v>Гладкий</v>
      </c>
      <c r="O80">
        <f>Себестоимости!D115</f>
        <v>0</v>
      </c>
      <c r="P80" t="str">
        <f>Себестоимости!E115</f>
        <v>Настоящее серебро</v>
      </c>
      <c r="Q80">
        <f>Себестоимости!F115</f>
        <v>280</v>
      </c>
      <c r="U80" s="180">
        <f t="shared" si="4"/>
        <v>0</v>
      </c>
      <c r="V80" s="180" t="str">
        <f t="shared" si="5"/>
        <v>№ 86 Millenium</v>
      </c>
      <c r="W80" s="180">
        <f t="shared" si="6"/>
        <v>86</v>
      </c>
      <c r="X80" s="180" t="str">
        <f t="shared" si="7"/>
        <v>Millenium</v>
      </c>
    </row>
    <row r="81" spans="1:24">
      <c r="A81" t="str">
        <f>Форматы!A19</f>
        <v>100х210</v>
      </c>
      <c r="H81" t="s">
        <v>93</v>
      </c>
      <c r="I81">
        <v>0</v>
      </c>
      <c r="L81">
        <f>Себестоимости!A116</f>
        <v>87</v>
      </c>
      <c r="M81" t="str">
        <f>Себестоимости!B116</f>
        <v>Torito</v>
      </c>
      <c r="N81" t="str">
        <f>Себестоимости!C116</f>
        <v>1  ст лён</v>
      </c>
      <c r="O81">
        <f>Себестоимости!D116</f>
        <v>0</v>
      </c>
      <c r="P81" t="str">
        <f>Себестоимости!E116</f>
        <v>Красный</v>
      </c>
      <c r="Q81">
        <f>Себестоимости!F116</f>
        <v>270</v>
      </c>
      <c r="U81" s="180">
        <f t="shared" si="4"/>
        <v>0</v>
      </c>
      <c r="V81" s="180" t="str">
        <f t="shared" si="5"/>
        <v>№ 87 Torito</v>
      </c>
      <c r="W81" s="180">
        <f t="shared" si="6"/>
        <v>87</v>
      </c>
      <c r="X81" s="180" t="str">
        <f t="shared" si="7"/>
        <v>Torito</v>
      </c>
    </row>
    <row r="82" spans="1:24">
      <c r="A82" t="str">
        <f>Форматы!A20</f>
        <v>960*305 (4*А4)</v>
      </c>
      <c r="H82" t="s">
        <v>360</v>
      </c>
      <c r="I82">
        <v>1</v>
      </c>
      <c r="L82">
        <f>Себестоимости!A117</f>
        <v>88</v>
      </c>
      <c r="M82" t="str">
        <f>Себестоимости!B117</f>
        <v>Torito</v>
      </c>
      <c r="N82" t="str">
        <f>Себестоимости!C117</f>
        <v>1  ст лён</v>
      </c>
      <c r="O82">
        <f>Себестоимости!D117</f>
        <v>0</v>
      </c>
      <c r="P82" t="str">
        <f>Себестоимости!E117</f>
        <v>Серый</v>
      </c>
      <c r="Q82">
        <f>Себестоимости!F117</f>
        <v>270</v>
      </c>
      <c r="U82" s="180">
        <f t="shared" si="4"/>
        <v>0</v>
      </c>
      <c r="V82" s="180" t="str">
        <f t="shared" si="5"/>
        <v>№ 88 Torito</v>
      </c>
      <c r="W82" s="180">
        <f t="shared" si="6"/>
        <v>88</v>
      </c>
      <c r="X82" s="180" t="str">
        <f t="shared" si="7"/>
        <v>Torito</v>
      </c>
    </row>
    <row r="83" spans="1:24">
      <c r="A83" t="str">
        <f>Форматы!A21</f>
        <v>630*297 (3*А4)</v>
      </c>
      <c r="H83" t="s">
        <v>361</v>
      </c>
      <c r="I83">
        <v>2</v>
      </c>
      <c r="L83">
        <f>Себестоимости!A118</f>
        <v>89</v>
      </c>
      <c r="M83" t="str">
        <f>Себестоимости!B118</f>
        <v>XP люкс</v>
      </c>
      <c r="N83" t="str">
        <f>Себестоимости!C118</f>
        <v>1 стр гладкий</v>
      </c>
      <c r="O83">
        <f>Себестоимости!D118</f>
        <v>0</v>
      </c>
      <c r="P83" t="str">
        <f>Себестоимости!E118</f>
        <v>Хром</v>
      </c>
      <c r="Q83">
        <f>Себестоимости!F118</f>
        <v>300</v>
      </c>
      <c r="U83" s="180">
        <f t="shared" si="4"/>
        <v>0</v>
      </c>
      <c r="V83" s="180" t="str">
        <f t="shared" si="5"/>
        <v>№ 89 XP люкс</v>
      </c>
      <c r="W83" s="180">
        <f t="shared" si="6"/>
        <v>89</v>
      </c>
      <c r="X83" s="180" t="str">
        <f t="shared" si="7"/>
        <v>XP люкс</v>
      </c>
    </row>
    <row r="84" spans="1:24">
      <c r="A84" t="str">
        <f>Форматы!A22</f>
        <v>450*320 (SRA3)</v>
      </c>
      <c r="H84" t="s">
        <v>362</v>
      </c>
      <c r="I84">
        <v>3</v>
      </c>
      <c r="L84">
        <f>Себестоимости!A119</f>
        <v>90</v>
      </c>
      <c r="M84" t="str">
        <f>Себестоимости!B119</f>
        <v>XP люкс</v>
      </c>
      <c r="N84" t="str">
        <f>Себестоимости!C119</f>
        <v>1 стр гладкий</v>
      </c>
      <c r="O84">
        <f>Себестоимости!D119</f>
        <v>0</v>
      </c>
      <c r="P84" t="str">
        <f>Себестоимости!E119</f>
        <v>Голубой</v>
      </c>
      <c r="Q84">
        <f>Себестоимости!F119</f>
        <v>300</v>
      </c>
      <c r="U84" s="180">
        <f t="shared" si="4"/>
        <v>0</v>
      </c>
      <c r="V84" s="180" t="str">
        <f t="shared" si="5"/>
        <v>№ 90 XP люкс</v>
      </c>
      <c r="W84" s="180">
        <f t="shared" si="6"/>
        <v>90</v>
      </c>
      <c r="X84" s="180" t="str">
        <f t="shared" si="7"/>
        <v>XP люкс</v>
      </c>
    </row>
    <row r="85" spans="1:24">
      <c r="A85" t="s">
        <v>1158</v>
      </c>
      <c r="I85">
        <v>4</v>
      </c>
      <c r="L85">
        <f>Себестоимости!A120</f>
        <v>91</v>
      </c>
      <c r="M85" t="str">
        <f>Себестоимости!B120</f>
        <v>XP люкс</v>
      </c>
      <c r="N85" t="str">
        <f>Себестоимости!C120</f>
        <v>1 стр гладкий</v>
      </c>
      <c r="O85">
        <f>Себестоимости!D120</f>
        <v>0</v>
      </c>
      <c r="P85" t="str">
        <f>Себестоимости!E120</f>
        <v>Медь</v>
      </c>
      <c r="Q85">
        <f>Себестоимости!F120</f>
        <v>300</v>
      </c>
      <c r="U85" s="180">
        <f t="shared" si="4"/>
        <v>0</v>
      </c>
      <c r="V85" s="180" t="str">
        <f t="shared" si="5"/>
        <v>№ 91 XP люкс</v>
      </c>
      <c r="W85" s="180">
        <f t="shared" si="6"/>
        <v>91</v>
      </c>
      <c r="X85" s="180" t="str">
        <f t="shared" si="7"/>
        <v>XP люкс</v>
      </c>
    </row>
    <row r="86" spans="1:24">
      <c r="L86">
        <f>Себестоимости!A121</f>
        <v>92</v>
      </c>
      <c r="M86" t="str">
        <f>Себестоимости!B121</f>
        <v>Millenium</v>
      </c>
      <c r="N86" t="str">
        <f>Себестоимости!C121</f>
        <v>Гладкий</v>
      </c>
      <c r="O86">
        <f>Себестоимости!D121</f>
        <v>0</v>
      </c>
      <c r="P86" t="str">
        <f>Себестоимости!E121</f>
        <v>Брильянт</v>
      </c>
      <c r="Q86">
        <f>Себестоимости!F121</f>
        <v>280</v>
      </c>
      <c r="U86" s="180">
        <f t="shared" si="4"/>
        <v>0</v>
      </c>
      <c r="V86" s="180" t="str">
        <f t="shared" si="5"/>
        <v>№ 92 Millenium</v>
      </c>
      <c r="W86" s="180">
        <f t="shared" si="6"/>
        <v>92</v>
      </c>
      <c r="X86" s="180" t="str">
        <f t="shared" si="7"/>
        <v>Millenium</v>
      </c>
    </row>
    <row r="87" spans="1:24">
      <c r="H87" t="s">
        <v>369</v>
      </c>
      <c r="L87">
        <f>Себестоимости!A122</f>
        <v>93</v>
      </c>
      <c r="M87" t="str">
        <f>Себестоимости!B122</f>
        <v>Imperial</v>
      </c>
      <c r="N87" t="str">
        <f>Себестоимости!C122</f>
        <v>Легкий фетр</v>
      </c>
      <c r="O87">
        <f>Себестоимости!D122</f>
        <v>0</v>
      </c>
      <c r="P87" t="str">
        <f>Себестоимости!E122</f>
        <v>Серебро</v>
      </c>
      <c r="Q87">
        <f>Себестоимости!F122</f>
        <v>260</v>
      </c>
      <c r="U87" s="180">
        <f t="shared" si="4"/>
        <v>0</v>
      </c>
      <c r="V87" s="180" t="str">
        <f t="shared" si="5"/>
        <v>№ 93 Imperial</v>
      </c>
      <c r="W87" s="180">
        <f t="shared" si="6"/>
        <v>93</v>
      </c>
      <c r="X87" s="180" t="str">
        <f t="shared" si="7"/>
        <v>Imperial</v>
      </c>
    </row>
    <row r="88" spans="1:24">
      <c r="H88" t="s">
        <v>371</v>
      </c>
      <c r="J88">
        <f>IF(Себестоимости!Q37=Себестоимости!Q39,Настройки!K18,IF(Себестоимости!Q37=Себестоимости!Q129,Настройки!K16,IF(Себестоимости!Q37=Себестоимости!Q132,"невозможно")))</f>
        <v>0</v>
      </c>
      <c r="L88">
        <f>Себестоимости!A123</f>
        <v>94</v>
      </c>
      <c r="M88" t="str">
        <f>Себестоимости!B123</f>
        <v>Majestic</v>
      </c>
      <c r="N88" t="str">
        <f>Себестоимости!C123</f>
        <v>Гладкий</v>
      </c>
      <c r="O88">
        <f>Себестоимости!D123</f>
        <v>0</v>
      </c>
      <c r="P88" t="str">
        <f>Себестоимости!E123</f>
        <v>Хамелеон гол. Свет</v>
      </c>
      <c r="Q88">
        <f>Себестоимости!F123</f>
        <v>250</v>
      </c>
      <c r="U88" s="180">
        <f t="shared" si="4"/>
        <v>0</v>
      </c>
      <c r="V88" s="180" t="str">
        <f t="shared" si="5"/>
        <v>№ 94 Majestic</v>
      </c>
      <c r="W88" s="180">
        <f t="shared" si="6"/>
        <v>94</v>
      </c>
      <c r="X88" s="180" t="str">
        <f t="shared" si="7"/>
        <v>Majestic</v>
      </c>
    </row>
    <row r="89" spans="1:24">
      <c r="H89" t="s">
        <v>295</v>
      </c>
      <c r="J89">
        <f>Настройки!K18</f>
        <v>0</v>
      </c>
      <c r="L89">
        <f>Себестоимости!A124</f>
        <v>95</v>
      </c>
      <c r="M89" t="str">
        <f>Себестоимости!B124</f>
        <v>Haute Couture Chevrons polar</v>
      </c>
      <c r="N89">
        <f>Себестоимости!C124</f>
        <v>0</v>
      </c>
      <c r="O89" t="str">
        <f>Себестоимости!D124</f>
        <v>Диз. Тиснение</v>
      </c>
      <c r="P89" t="str">
        <f>Себестоимости!E124</f>
        <v>Белый</v>
      </c>
      <c r="Q89">
        <f>Себестоимости!F124</f>
        <v>300</v>
      </c>
      <c r="U89" s="180">
        <f t="shared" si="4"/>
        <v>0</v>
      </c>
      <c r="V89" s="180" t="str">
        <f t="shared" si="5"/>
        <v>№ 95 Haute Couture Chevrons polar</v>
      </c>
      <c r="W89" s="180">
        <f t="shared" si="6"/>
        <v>95</v>
      </c>
      <c r="X89" s="180" t="str">
        <f t="shared" si="7"/>
        <v>Haute Couture Chevrons polar</v>
      </c>
    </row>
    <row r="90" spans="1:24">
      <c r="H90" t="s">
        <v>93</v>
      </c>
      <c r="J90">
        <f>Настройки!K16</f>
        <v>0</v>
      </c>
      <c r="L90">
        <f>Себестоимости!A125</f>
        <v>96</v>
      </c>
      <c r="M90" t="str">
        <f>Себестоимости!B125</f>
        <v>Haute Couture prince de galles</v>
      </c>
      <c r="N90">
        <f>Себестоимости!C125</f>
        <v>0</v>
      </c>
      <c r="O90" t="str">
        <f>Себестоимости!D125</f>
        <v>Диз. тиснение</v>
      </c>
      <c r="P90" t="str">
        <f>Себестоимости!E125</f>
        <v>Слоновая кость</v>
      </c>
      <c r="Q90">
        <f>Себестоимости!F125</f>
        <v>300</v>
      </c>
      <c r="U90" s="180">
        <f t="shared" si="4"/>
        <v>0</v>
      </c>
      <c r="V90" s="180" t="str">
        <f t="shared" si="5"/>
        <v>№ 96 Haute Couture prince de galles</v>
      </c>
      <c r="W90" s="180">
        <f t="shared" si="6"/>
        <v>96</v>
      </c>
      <c r="X90" s="180" t="str">
        <f t="shared" si="7"/>
        <v>Haute Couture prince de galles</v>
      </c>
    </row>
    <row r="91" spans="1:24">
      <c r="L91">
        <f>Себестоимости!A126</f>
        <v>97</v>
      </c>
      <c r="M91" t="str">
        <f>Себестоимости!B126</f>
        <v>Haute Couture Reflections Gold</v>
      </c>
      <c r="N91">
        <f>Себестоимости!C126</f>
        <v>0</v>
      </c>
      <c r="O91" t="str">
        <f>Себестоимости!D126</f>
        <v>Диз. тиснение</v>
      </c>
      <c r="P91" t="str">
        <f>Себестоимости!E126</f>
        <v>Золото</v>
      </c>
      <c r="Q91">
        <f>Себестоимости!F126</f>
        <v>310</v>
      </c>
      <c r="U91" s="180">
        <f t="shared" si="4"/>
        <v>0</v>
      </c>
      <c r="V91" s="180" t="str">
        <f t="shared" si="5"/>
        <v>№ 97 Haute Couture Reflections Gold</v>
      </c>
      <c r="W91" s="180">
        <f t="shared" si="6"/>
        <v>97</v>
      </c>
      <c r="X91" s="180" t="str">
        <f t="shared" si="7"/>
        <v>Haute Couture Reflections Gold</v>
      </c>
    </row>
    <row r="92" spans="1:24">
      <c r="H92" t="s">
        <v>291</v>
      </c>
      <c r="I92" t="s">
        <v>476</v>
      </c>
      <c r="J92" t="s">
        <v>475</v>
      </c>
      <c r="L92">
        <f>Себестоимости!A127</f>
        <v>98</v>
      </c>
      <c r="M92" t="str">
        <f>Себестоимости!B127</f>
        <v>Haute Couture Reflections polar</v>
      </c>
      <c r="N92">
        <f>Себестоимости!C127</f>
        <v>0</v>
      </c>
      <c r="O92" t="str">
        <f>Себестоимости!D127</f>
        <v>Диз. тиснение</v>
      </c>
      <c r="P92" t="str">
        <f>Себестоимости!E127</f>
        <v>Белый</v>
      </c>
      <c r="Q92">
        <f>Себестоимости!F127</f>
        <v>300</v>
      </c>
      <c r="U92" s="180">
        <f t="shared" ref="U92:U137" si="8">IF($V$2=V92,W92,0)</f>
        <v>0</v>
      </c>
      <c r="V92" s="180" t="str">
        <f t="shared" ref="V92:V137" si="9">CONCATENATE("№ ",W92," ",X92)</f>
        <v>№ 98 Haute Couture Reflections polar</v>
      </c>
      <c r="W92" s="180">
        <f t="shared" ref="W92:W137" si="10">L92</f>
        <v>98</v>
      </c>
      <c r="X92" s="180" t="str">
        <f t="shared" ref="X92:X137" si="11">M92</f>
        <v>Haute Couture Reflections polar</v>
      </c>
    </row>
    <row r="93" spans="1:24">
      <c r="L93">
        <f>Себестоимости!A128</f>
        <v>99</v>
      </c>
      <c r="M93" t="str">
        <f>Себестоимости!B128</f>
        <v>Modena серебро</v>
      </c>
      <c r="N93">
        <f>Себестоимости!C128</f>
        <v>0</v>
      </c>
      <c r="O93">
        <f>Себестоимости!D128</f>
        <v>0</v>
      </c>
      <c r="P93" t="str">
        <f>Себестоимости!E128</f>
        <v>Серебро металлик</v>
      </c>
      <c r="Q93">
        <f>Себестоимости!F128</f>
        <v>150</v>
      </c>
      <c r="U93" s="180">
        <f t="shared" si="8"/>
        <v>0</v>
      </c>
      <c r="V93" s="180" t="str">
        <f t="shared" si="9"/>
        <v>№ 99 Modena серебро</v>
      </c>
      <c r="W93" s="180">
        <f t="shared" si="10"/>
        <v>99</v>
      </c>
      <c r="X93" s="180" t="str">
        <f t="shared" si="11"/>
        <v>Modena серебро</v>
      </c>
    </row>
    <row r="94" spans="1:24">
      <c r="L94">
        <f>Себестоимости!A129</f>
        <v>100</v>
      </c>
      <c r="M94" t="str">
        <f>Себестоимости!B129</f>
        <v>Снегурочка</v>
      </c>
      <c r="N94">
        <f>Себестоимости!C129</f>
        <v>0</v>
      </c>
      <c r="O94">
        <f>Себестоимости!D129</f>
        <v>0</v>
      </c>
      <c r="P94" t="str">
        <f>Себестоимости!E129</f>
        <v>Белый</v>
      </c>
      <c r="Q94">
        <f>Себестоимости!F129</f>
        <v>80</v>
      </c>
      <c r="U94" s="180">
        <f t="shared" si="8"/>
        <v>0</v>
      </c>
      <c r="V94" s="180" t="str">
        <f t="shared" si="9"/>
        <v>№ 100 Снегурочка</v>
      </c>
      <c r="W94" s="180">
        <f t="shared" si="10"/>
        <v>100</v>
      </c>
      <c r="X94" s="180" t="str">
        <f t="shared" si="11"/>
        <v>Снегурочка</v>
      </c>
    </row>
    <row r="95" spans="1:24">
      <c r="G95" t="s">
        <v>485</v>
      </c>
      <c r="H95">
        <f>IF(C3="Цветной",4,IF(C3="Черно-белый",1,0))</f>
        <v>4</v>
      </c>
      <c r="I95">
        <f>IF(C5="Цветной",4,IF(C5="Черно-белый",1,0))</f>
        <v>0</v>
      </c>
      <c r="L95">
        <f>Себестоимости!A130</f>
        <v>101</v>
      </c>
      <c r="M95" t="str">
        <f>Себестоимости!B130</f>
        <v>Colorcopy</v>
      </c>
      <c r="N95" t="str">
        <f>Себестоимости!C130</f>
        <v>Гладкий высоко белый (стандарт)</v>
      </c>
      <c r="O95">
        <f>Себестоимости!D130</f>
        <v>0</v>
      </c>
      <c r="P95" t="str">
        <f>Себестоимости!E130</f>
        <v>Белый</v>
      </c>
      <c r="Q95">
        <f>Себестоимости!F130</f>
        <v>160</v>
      </c>
      <c r="U95" s="180">
        <f t="shared" si="8"/>
        <v>0</v>
      </c>
      <c r="V95" s="180" t="str">
        <f t="shared" si="9"/>
        <v>№ 101 Colorcopy</v>
      </c>
      <c r="W95" s="180">
        <f t="shared" si="10"/>
        <v>101</v>
      </c>
      <c r="X95" s="180" t="str">
        <f t="shared" si="11"/>
        <v>Colorcopy</v>
      </c>
    </row>
    <row r="96" spans="1:24">
      <c r="G96" t="s">
        <v>486</v>
      </c>
      <c r="H96">
        <f>IF(J10="да",1,0)</f>
        <v>0</v>
      </c>
      <c r="I96">
        <f>IF(J11="да",1,0)</f>
        <v>0</v>
      </c>
      <c r="L96">
        <f>Себестоимости!A131</f>
        <v>102</v>
      </c>
      <c r="M96" t="str">
        <f>Себестоимости!B131</f>
        <v>Стандарт листовок</v>
      </c>
      <c r="N96" t="str">
        <f>Себестоимости!C131</f>
        <v>Мелованный глянец</v>
      </c>
      <c r="O96">
        <f>Себестоимости!D131</f>
        <v>0</v>
      </c>
      <c r="P96" t="str">
        <f>Себестоимости!E131</f>
        <v>Белый</v>
      </c>
      <c r="Q96">
        <f>Себестоимости!F131</f>
        <v>150</v>
      </c>
      <c r="U96" s="180">
        <f t="shared" si="8"/>
        <v>0</v>
      </c>
      <c r="V96" s="180" t="str">
        <f t="shared" si="9"/>
        <v>№ 102 Стандарт листовок</v>
      </c>
      <c r="W96" s="180">
        <f t="shared" si="10"/>
        <v>102</v>
      </c>
      <c r="X96" s="180" t="str">
        <f t="shared" si="11"/>
        <v>Стандарт листовок</v>
      </c>
    </row>
    <row r="97" spans="1:24">
      <c r="A97" s="150" t="s">
        <v>643</v>
      </c>
      <c r="G97" t="str">
        <f>IF(H96+I96&gt;0,CONCATENATE(G96," ",H96,"+",I96,", ")," ")</f>
        <v xml:space="preserve"> </v>
      </c>
      <c r="L97">
        <f>Себестоимости!A132</f>
        <v>104</v>
      </c>
      <c r="M97" t="str">
        <f>Себестоимости!B132</f>
        <v>Ritrama</v>
      </c>
      <c r="N97" t="str">
        <f>Себестоимости!C132</f>
        <v>самоклейка</v>
      </c>
      <c r="O97">
        <f>Себестоимости!D132</f>
        <v>0</v>
      </c>
      <c r="P97" t="str">
        <f>Себестоимости!E132</f>
        <v>белый полуглянец</v>
      </c>
      <c r="Q97">
        <f>Себестоимости!F132</f>
        <v>180</v>
      </c>
      <c r="U97" s="180">
        <f t="shared" si="8"/>
        <v>0</v>
      </c>
      <c r="V97" s="180" t="str">
        <f t="shared" si="9"/>
        <v>№ 104 Ritrama</v>
      </c>
      <c r="W97" s="180">
        <f t="shared" si="10"/>
        <v>104</v>
      </c>
      <c r="X97" s="180" t="str">
        <f t="shared" si="11"/>
        <v>Ritrama</v>
      </c>
    </row>
    <row r="98" spans="1:24" ht="15.75" thickBot="1">
      <c r="A98" s="153" t="s">
        <v>645</v>
      </c>
      <c r="C98">
        <v>100</v>
      </c>
      <c r="D98">
        <v>130</v>
      </c>
      <c r="F98" t="s">
        <v>93</v>
      </c>
      <c r="H98" t="s">
        <v>93</v>
      </c>
      <c r="L98">
        <f>Себестоимости!A133</f>
        <v>105</v>
      </c>
      <c r="M98" t="str">
        <f>Себестоимости!B133</f>
        <v>Touch</v>
      </c>
      <c r="N98" t="str">
        <f>Себестоимости!C133</f>
        <v>Латекс</v>
      </c>
      <c r="O98">
        <f>Себестоимости!D133</f>
        <v>0</v>
      </c>
      <c r="P98" t="str">
        <f>Себестоимости!E133</f>
        <v>Серый</v>
      </c>
      <c r="Q98">
        <f>Себестоимости!F133</f>
        <v>301</v>
      </c>
      <c r="U98" s="180">
        <f t="shared" si="8"/>
        <v>0</v>
      </c>
      <c r="V98" s="180" t="str">
        <f t="shared" si="9"/>
        <v>№ 105 Touch</v>
      </c>
      <c r="W98" s="180">
        <f t="shared" si="10"/>
        <v>105</v>
      </c>
      <c r="X98" s="180" t="str">
        <f t="shared" si="11"/>
        <v>Touch</v>
      </c>
    </row>
    <row r="99" spans="1:24" ht="15.75" thickBot="1">
      <c r="A99" s="153" t="s">
        <v>647</v>
      </c>
      <c r="C99">
        <v>200</v>
      </c>
      <c r="D99">
        <v>170</v>
      </c>
      <c r="F99" s="157" t="s">
        <v>658</v>
      </c>
      <c r="G99">
        <f>IF(F99=Печать!$G$29,1,0)</f>
        <v>0</v>
      </c>
      <c r="H99" t="s">
        <v>295</v>
      </c>
      <c r="L99">
        <f>Себестоимости!A134</f>
        <v>106</v>
      </c>
      <c r="M99" t="str">
        <f>Себестоимости!B134</f>
        <v>Touch</v>
      </c>
      <c r="N99" t="str">
        <f>Себестоимости!C134</f>
        <v>Латекс</v>
      </c>
      <c r="O99">
        <f>Себестоимости!D134</f>
        <v>0</v>
      </c>
      <c r="P99" t="str">
        <f>Себестоимости!E134</f>
        <v>Светлосерый</v>
      </c>
      <c r="Q99">
        <f>Себестоимости!F134</f>
        <v>301</v>
      </c>
      <c r="U99" s="180">
        <f t="shared" si="8"/>
        <v>0</v>
      </c>
      <c r="V99" s="180" t="str">
        <f t="shared" si="9"/>
        <v>№ 106 Touch</v>
      </c>
      <c r="W99" s="180">
        <f t="shared" si="10"/>
        <v>106</v>
      </c>
      <c r="X99" s="180" t="str">
        <f t="shared" si="11"/>
        <v>Touch</v>
      </c>
    </row>
    <row r="100" spans="1:24" ht="15.75" thickBot="1">
      <c r="A100" s="153" t="s">
        <v>648</v>
      </c>
      <c r="C100">
        <v>500</v>
      </c>
      <c r="D100">
        <v>300</v>
      </c>
      <c r="F100" s="157" t="s">
        <v>654</v>
      </c>
      <c r="G100">
        <f>IF(F100=Печать!$G$29,1,0)</f>
        <v>0</v>
      </c>
      <c r="H100" t="s">
        <v>655</v>
      </c>
      <c r="I100">
        <f>IF(Печать!G28=H99,1,0)</f>
        <v>0</v>
      </c>
      <c r="L100">
        <f>Себестоимости!A135</f>
        <v>107</v>
      </c>
      <c r="M100" t="str">
        <f>Себестоимости!B135</f>
        <v>UPM Raflatac</v>
      </c>
      <c r="N100" t="str">
        <f>Себестоимости!C135</f>
        <v>самоклейка</v>
      </c>
      <c r="O100">
        <f>Себестоимости!D135</f>
        <v>0</v>
      </c>
      <c r="P100" t="str">
        <f>Себестоимости!E135</f>
        <v>глянец мелованный белый</v>
      </c>
      <c r="Q100">
        <f>Себестоимости!F135</f>
        <v>120</v>
      </c>
      <c r="U100" s="180">
        <f t="shared" si="8"/>
        <v>0</v>
      </c>
      <c r="V100" s="180" t="str">
        <f t="shared" si="9"/>
        <v>№ 107 UPM Raflatac</v>
      </c>
      <c r="W100" s="180">
        <f t="shared" si="10"/>
        <v>107</v>
      </c>
      <c r="X100" s="180" t="str">
        <f t="shared" si="11"/>
        <v>UPM Raflatac</v>
      </c>
    </row>
    <row r="101" spans="1:24" ht="15.75" thickBot="1">
      <c r="A101" s="153" t="s">
        <v>649</v>
      </c>
      <c r="C101">
        <v>1000</v>
      </c>
      <c r="F101" s="157" t="s">
        <v>659</v>
      </c>
      <c r="G101">
        <f>IF(F101=Печать!$G$29,1,0)</f>
        <v>0</v>
      </c>
      <c r="H101" t="s">
        <v>677</v>
      </c>
      <c r="I101">
        <f>IF(Печать!H28=H99,1,0)</f>
        <v>0</v>
      </c>
      <c r="L101">
        <f>Себестоимости!A136</f>
        <v>108</v>
      </c>
      <c r="M101" t="str">
        <f>Себестоимости!B136</f>
        <v>Lomond</v>
      </c>
      <c r="N101" t="str">
        <f>Себестоимости!C136</f>
        <v>самоклейка</v>
      </c>
      <c r="O101">
        <f>Себестоимости!D136</f>
        <v>0</v>
      </c>
      <c r="P101" t="str">
        <f>Себестоимости!E136</f>
        <v>винил глянец</v>
      </c>
      <c r="Q101">
        <f>Себестоимости!F136</f>
        <v>170</v>
      </c>
      <c r="U101" s="180">
        <f t="shared" si="8"/>
        <v>0</v>
      </c>
      <c r="V101" s="180" t="str">
        <f t="shared" si="9"/>
        <v>№ 108 Lomond</v>
      </c>
      <c r="W101" s="180">
        <f t="shared" si="10"/>
        <v>108</v>
      </c>
      <c r="X101" s="180" t="str">
        <f t="shared" si="11"/>
        <v>Lomond</v>
      </c>
    </row>
    <row r="102" spans="1:24" ht="15.75" thickBot="1">
      <c r="A102" s="153" t="s">
        <v>20</v>
      </c>
      <c r="C102">
        <v>2000</v>
      </c>
      <c r="D102" s="154" t="s">
        <v>644</v>
      </c>
      <c r="F102" s="157" t="s">
        <v>660</v>
      </c>
      <c r="G102">
        <f>IF(F102=Печать!$G$29,1,0)</f>
        <v>0</v>
      </c>
      <c r="H102" t="s">
        <v>290</v>
      </c>
      <c r="I102">
        <f>IF(Печать!I28=H99,1,0)</f>
        <v>0</v>
      </c>
      <c r="L102">
        <f>Себестоимости!A137</f>
        <v>109</v>
      </c>
      <c r="M102" t="str">
        <f>Себестоимости!B137</f>
        <v>Lomond</v>
      </c>
      <c r="N102" t="str">
        <f>Себестоимости!C137</f>
        <v>самоклейка</v>
      </c>
      <c r="O102">
        <f>Себестоимости!D137</f>
        <v>0</v>
      </c>
      <c r="P102" t="str">
        <f>Себестоимости!E137</f>
        <v>винил прозрачный глянец</v>
      </c>
      <c r="Q102">
        <f>Себестоимости!F137</f>
        <v>120</v>
      </c>
      <c r="U102" s="180">
        <f t="shared" si="8"/>
        <v>0</v>
      </c>
      <c r="V102" s="180" t="str">
        <f t="shared" si="9"/>
        <v>№ 109 Lomond</v>
      </c>
      <c r="W102" s="180">
        <f t="shared" si="10"/>
        <v>109</v>
      </c>
      <c r="X102" s="180" t="str">
        <f t="shared" si="11"/>
        <v>Lomond</v>
      </c>
    </row>
    <row r="103" spans="1:24" ht="15.75" thickBot="1">
      <c r="A103" s="153" t="s">
        <v>650</v>
      </c>
      <c r="C103">
        <v>3000</v>
      </c>
      <c r="D103" s="156" t="s">
        <v>646</v>
      </c>
      <c r="F103" s="157"/>
      <c r="H103" t="s">
        <v>160</v>
      </c>
      <c r="I103" t="e">
        <f>IF(#REF!=H99,1,0)</f>
        <v>#REF!</v>
      </c>
      <c r="L103">
        <f>Себестоимости!A138</f>
        <v>110</v>
      </c>
      <c r="M103" t="str">
        <f>Себестоимости!B138</f>
        <v xml:space="preserve">Oracal мат.съ.бл. </v>
      </c>
      <c r="N103" t="str">
        <f>Себестоимости!C138</f>
        <v>самоклейка</v>
      </c>
      <c r="O103">
        <f>Себестоимости!D138</f>
        <v>0</v>
      </c>
      <c r="P103" t="str">
        <f>Себестоимости!E138</f>
        <v>матовый съёмный белый</v>
      </c>
      <c r="Q103">
        <f>Себестоимости!F138</f>
        <v>120</v>
      </c>
      <c r="U103" s="180">
        <f t="shared" si="8"/>
        <v>0</v>
      </c>
      <c r="V103" s="180" t="str">
        <f t="shared" si="9"/>
        <v xml:space="preserve">№ 110 Oracal мат.съ.бл. </v>
      </c>
      <c r="W103" s="180">
        <f t="shared" si="10"/>
        <v>110</v>
      </c>
      <c r="X103" s="180" t="str">
        <f t="shared" si="11"/>
        <v xml:space="preserve">Oracal мат.съ.бл. </v>
      </c>
    </row>
    <row r="104" spans="1:24" ht="15.75" thickBot="1">
      <c r="A104" s="153" t="s">
        <v>651</v>
      </c>
      <c r="C104">
        <v>4000</v>
      </c>
      <c r="F104" s="159"/>
      <c r="L104">
        <f>Себестоимости!A139</f>
        <v>111</v>
      </c>
      <c r="M104" t="str">
        <f>Себестоимости!B139</f>
        <v>Arconvert (неон)</v>
      </c>
      <c r="N104" t="str">
        <f>Себестоимости!C139</f>
        <v>самоклейка</v>
      </c>
      <c r="O104">
        <f>Себестоимости!D139</f>
        <v>0</v>
      </c>
      <c r="P104" t="str">
        <f>Себестоимости!E139</f>
        <v>интенсивный цвет - неон</v>
      </c>
      <c r="Q104">
        <f>Себестоимости!F139</f>
        <v>80</v>
      </c>
      <c r="U104" s="180">
        <f t="shared" si="8"/>
        <v>0</v>
      </c>
      <c r="V104" s="180" t="str">
        <f t="shared" si="9"/>
        <v>№ 111 Arconvert (неон)</v>
      </c>
      <c r="W104" s="180">
        <f t="shared" si="10"/>
        <v>111</v>
      </c>
      <c r="X104" s="180" t="str">
        <f t="shared" si="11"/>
        <v>Arconvert (неон)</v>
      </c>
    </row>
    <row r="105" spans="1:24" ht="15.75" thickBot="1">
      <c r="A105" s="153" t="s">
        <v>652</v>
      </c>
      <c r="C105">
        <v>5000</v>
      </c>
      <c r="I105" t="s">
        <v>935</v>
      </c>
      <c r="L105">
        <f>Себестоимости!A140</f>
        <v>112</v>
      </c>
      <c r="M105" t="str">
        <f>Себестоимости!B140</f>
        <v>Arconvert (метал)</v>
      </c>
      <c r="N105" t="str">
        <f>Себестоимости!C140</f>
        <v>самоклейка</v>
      </c>
      <c r="O105">
        <f>Себестоимости!D140</f>
        <v>0</v>
      </c>
      <c r="P105" t="str">
        <f>Себестоимости!E140</f>
        <v>интенсивный цвет - неон</v>
      </c>
      <c r="Q105">
        <f>Себестоимости!F140</f>
        <v>80</v>
      </c>
      <c r="U105" s="180">
        <f t="shared" si="8"/>
        <v>0</v>
      </c>
      <c r="V105" s="180" t="str">
        <f t="shared" si="9"/>
        <v>№ 112 Arconvert (метал)</v>
      </c>
      <c r="W105" s="180">
        <f t="shared" si="10"/>
        <v>112</v>
      </c>
      <c r="X105" s="180" t="str">
        <f t="shared" si="11"/>
        <v>Arconvert (метал)</v>
      </c>
    </row>
    <row r="106" spans="1:24" ht="15.75" thickBot="1">
      <c r="A106" s="153" t="s">
        <v>653</v>
      </c>
      <c r="C106">
        <v>6000</v>
      </c>
      <c r="I106" t="s">
        <v>936</v>
      </c>
      <c r="L106">
        <f>Себестоимости!A141</f>
        <v>113</v>
      </c>
      <c r="M106" t="str">
        <f>Себестоимости!B141</f>
        <v>PREMIER</v>
      </c>
      <c r="N106" t="str">
        <f>Себестоимости!C141</f>
        <v>Микрофибр</v>
      </c>
      <c r="O106">
        <f>Себестоимости!D141</f>
        <v>0</v>
      </c>
      <c r="P106" t="str">
        <f>Себестоимости!E141</f>
        <v>Слоновая кость</v>
      </c>
      <c r="Q106">
        <f>Себестоимости!F141</f>
        <v>300</v>
      </c>
      <c r="U106" s="180">
        <f t="shared" si="8"/>
        <v>0</v>
      </c>
      <c r="V106" s="180" t="str">
        <f t="shared" si="9"/>
        <v>№ 113 PREMIER</v>
      </c>
      <c r="W106" s="180">
        <f t="shared" si="10"/>
        <v>113</v>
      </c>
      <c r="X106" s="180" t="str">
        <f t="shared" si="11"/>
        <v>PREMIER</v>
      </c>
    </row>
    <row r="107" spans="1:24" ht="15.75" thickBot="1">
      <c r="A107" s="153" t="s">
        <v>663</v>
      </c>
      <c r="C107">
        <v>8000</v>
      </c>
      <c r="F107" t="s">
        <v>93</v>
      </c>
      <c r="G107">
        <v>0</v>
      </c>
      <c r="H107">
        <v>0</v>
      </c>
      <c r="I107" t="s">
        <v>937</v>
      </c>
      <c r="L107">
        <f>Себестоимости!A142</f>
        <v>114</v>
      </c>
      <c r="M107" t="str">
        <f>Себестоимости!B142</f>
        <v>Lomond</v>
      </c>
      <c r="N107" t="str">
        <f>Себестоимости!C142</f>
        <v>Фотобумага</v>
      </c>
      <c r="O107">
        <f>Себестоимости!D142</f>
        <v>0</v>
      </c>
      <c r="P107" t="str">
        <f>Себестоимости!E142</f>
        <v>глянец мелованный белый</v>
      </c>
      <c r="Q107">
        <f>Себестоимости!F142</f>
        <v>250</v>
      </c>
      <c r="U107" s="180">
        <f t="shared" si="8"/>
        <v>0</v>
      </c>
      <c r="V107" s="180" t="str">
        <f t="shared" si="9"/>
        <v>№ 114 Lomond</v>
      </c>
      <c r="W107" s="180">
        <f t="shared" si="10"/>
        <v>114</v>
      </c>
      <c r="X107" s="180" t="str">
        <f t="shared" si="11"/>
        <v>Lomond</v>
      </c>
    </row>
    <row r="108" spans="1:24">
      <c r="A108" s="150" t="s">
        <v>664</v>
      </c>
      <c r="C108">
        <v>10000</v>
      </c>
      <c r="F108" t="s">
        <v>700</v>
      </c>
      <c r="G108">
        <v>100</v>
      </c>
      <c r="H108" s="223">
        <f>IF($J$15=F108,G108+CEILING(SUM($G$9:$G$17)*0.05,10),0)</f>
        <v>0</v>
      </c>
      <c r="L108">
        <f>Себестоимости!A143</f>
        <v>120</v>
      </c>
      <c r="M108" t="str">
        <f>Себестоимости!B143</f>
        <v>UPM DIGI</v>
      </c>
      <c r="N108" t="str">
        <f>Себестоимости!C143</f>
        <v>Гладкий Глянец мелованный (стандарт)</v>
      </c>
      <c r="O108">
        <f>Себестоимости!D143</f>
        <v>0</v>
      </c>
      <c r="P108" t="str">
        <f>Себестоимости!E143</f>
        <v xml:space="preserve">Белый </v>
      </c>
      <c r="Q108">
        <f>Себестоимости!F143</f>
        <v>100</v>
      </c>
      <c r="U108" s="180">
        <f t="shared" si="8"/>
        <v>0</v>
      </c>
      <c r="V108" s="180" t="str">
        <f t="shared" si="9"/>
        <v>№ 120 UPM DIGI</v>
      </c>
      <c r="W108" s="180">
        <f t="shared" si="10"/>
        <v>120</v>
      </c>
      <c r="X108" s="180" t="str">
        <f t="shared" si="11"/>
        <v>UPM DIGI</v>
      </c>
    </row>
    <row r="109" spans="1:24" ht="15.75" thickBot="1">
      <c r="A109" s="153" t="s">
        <v>665</v>
      </c>
      <c r="C109">
        <v>20000</v>
      </c>
      <c r="F109" t="s">
        <v>1177</v>
      </c>
      <c r="G109">
        <v>150</v>
      </c>
      <c r="H109" s="223">
        <f t="shared" ref="H109:H116" si="12">IF($J$15=F109,G109+CEILING(SUM($G$9:$G$17)*0.05,10),0)</f>
        <v>0</v>
      </c>
      <c r="L109">
        <f>Себестоимости!A144</f>
        <v>121</v>
      </c>
      <c r="M109" t="str">
        <f>Себестоимости!B144</f>
        <v>Colorcopy</v>
      </c>
      <c r="N109" t="str">
        <f>Себестоимости!C144</f>
        <v>Гладкий высоко белый (стандарт)</v>
      </c>
      <c r="O109">
        <f>Себестоимости!D144</f>
        <v>0</v>
      </c>
      <c r="P109" t="str">
        <f>Себестоимости!E144</f>
        <v>Белый</v>
      </c>
      <c r="Q109">
        <f>Себестоимости!F144</f>
        <v>90</v>
      </c>
      <c r="U109" s="180">
        <f t="shared" si="8"/>
        <v>0</v>
      </c>
      <c r="V109" s="180" t="str">
        <f t="shared" si="9"/>
        <v>№ 121 Colorcopy</v>
      </c>
      <c r="W109" s="180">
        <f t="shared" si="10"/>
        <v>121</v>
      </c>
      <c r="X109" s="180" t="str">
        <f t="shared" si="11"/>
        <v>Colorcopy</v>
      </c>
    </row>
    <row r="110" spans="1:24">
      <c r="C110">
        <v>30000</v>
      </c>
      <c r="F110" t="s">
        <v>1178</v>
      </c>
      <c r="G110">
        <v>200</v>
      </c>
      <c r="H110" s="223">
        <f t="shared" si="12"/>
        <v>0</v>
      </c>
      <c r="L110">
        <f>Себестоимости!A145</f>
        <v>200</v>
      </c>
      <c r="M110" t="str">
        <f>Себестоимости!B145</f>
        <v>Пластик 275</v>
      </c>
      <c r="N110" t="str">
        <f>Себестоимости!C145</f>
        <v>Гладкий высоко белый (стандарт)</v>
      </c>
      <c r="O110">
        <f>Себестоимости!D145</f>
        <v>0</v>
      </c>
      <c r="P110" t="str">
        <f>Себестоимости!E145</f>
        <v>Белый</v>
      </c>
      <c r="Q110">
        <f>Себестоимости!F145</f>
        <v>275</v>
      </c>
      <c r="U110" s="180">
        <f t="shared" si="8"/>
        <v>0</v>
      </c>
      <c r="V110" s="180" t="str">
        <f t="shared" si="9"/>
        <v>№ 200 Пластик 275</v>
      </c>
      <c r="W110" s="180">
        <f t="shared" si="10"/>
        <v>200</v>
      </c>
      <c r="X110" s="180" t="str">
        <f t="shared" si="11"/>
        <v>Пластик 275</v>
      </c>
    </row>
    <row r="111" spans="1:24">
      <c r="C111">
        <v>40000</v>
      </c>
      <c r="F111" t="s">
        <v>701</v>
      </c>
      <c r="G111">
        <v>250</v>
      </c>
      <c r="H111" s="223">
        <f t="shared" si="12"/>
        <v>0</v>
      </c>
      <c r="L111">
        <f>Себестоимости!A146</f>
        <v>201</v>
      </c>
      <c r="M111" t="str">
        <f>Себестоимости!B146</f>
        <v>Пластик жемч 125</v>
      </c>
      <c r="N111" t="str">
        <f>Себестоимости!C146</f>
        <v>Гладкий высоко белый (стандарт)</v>
      </c>
      <c r="O111">
        <f>Себестоимости!D146</f>
        <v>0</v>
      </c>
      <c r="P111" t="str">
        <f>Себестоимости!E146</f>
        <v>Матовый жемчуг</v>
      </c>
      <c r="Q111">
        <f>Себестоимости!F146</f>
        <v>125</v>
      </c>
      <c r="U111" s="180">
        <f t="shared" si="8"/>
        <v>0</v>
      </c>
      <c r="V111" s="180" t="str">
        <f t="shared" si="9"/>
        <v>№ 201 Пластик жемч 125</v>
      </c>
      <c r="W111" s="180">
        <f t="shared" si="10"/>
        <v>201</v>
      </c>
      <c r="X111" s="180" t="str">
        <f t="shared" si="11"/>
        <v>Пластик жемч 125</v>
      </c>
    </row>
    <row r="112" spans="1:24">
      <c r="C112">
        <v>50000</v>
      </c>
      <c r="F112" t="s">
        <v>1179</v>
      </c>
      <c r="G112">
        <v>300</v>
      </c>
      <c r="H112" s="223">
        <f t="shared" si="12"/>
        <v>0</v>
      </c>
      <c r="L112">
        <f>Себестоимости!A147</f>
        <v>202</v>
      </c>
      <c r="M112" t="str">
        <f>Себестоимости!B147</f>
        <v>ПВХ Kernow самоклейка</v>
      </c>
      <c r="N112" t="str">
        <f>Себестоимости!C147</f>
        <v>Глянец</v>
      </c>
      <c r="O112">
        <f>Себестоимости!D147</f>
        <v>0</v>
      </c>
      <c r="P112" t="str">
        <f>Себестоимости!E147</f>
        <v>Белый</v>
      </c>
      <c r="Q112">
        <f>Себестоимости!F147</f>
        <v>229</v>
      </c>
      <c r="U112" s="180">
        <f t="shared" si="8"/>
        <v>0</v>
      </c>
      <c r="V112" s="180" t="str">
        <f t="shared" si="9"/>
        <v>№ 202 ПВХ Kernow самоклейка</v>
      </c>
      <c r="W112" s="180">
        <f t="shared" si="10"/>
        <v>202</v>
      </c>
      <c r="X112" s="180" t="str">
        <f t="shared" si="11"/>
        <v>ПВХ Kernow самоклейка</v>
      </c>
    </row>
    <row r="113" spans="1:24">
      <c r="C113">
        <v>60000</v>
      </c>
      <c r="F113" t="s">
        <v>1180</v>
      </c>
      <c r="G113">
        <v>350</v>
      </c>
      <c r="H113" s="223">
        <f t="shared" si="12"/>
        <v>0</v>
      </c>
      <c r="L113">
        <f>Себестоимости!A148</f>
        <v>203</v>
      </c>
      <c r="M113" t="str">
        <f>Себестоимости!B148</f>
        <v>ПВХ самоклейка</v>
      </c>
      <c r="N113" t="str">
        <f>Себестоимости!C148</f>
        <v>Глянец</v>
      </c>
      <c r="O113">
        <f>Себестоимости!D148</f>
        <v>0</v>
      </c>
      <c r="P113" t="str">
        <f>Себестоимости!E148</f>
        <v>Прозрачный</v>
      </c>
      <c r="Q113">
        <f>Себестоимости!F148</f>
        <v>200</v>
      </c>
      <c r="U113" s="180">
        <f t="shared" si="8"/>
        <v>0</v>
      </c>
      <c r="V113" s="180" t="str">
        <f t="shared" si="9"/>
        <v>№ 203 ПВХ самоклейка</v>
      </c>
      <c r="W113" s="180">
        <f t="shared" si="10"/>
        <v>203</v>
      </c>
      <c r="X113" s="180" t="str">
        <f t="shared" si="11"/>
        <v>ПВХ самоклейка</v>
      </c>
    </row>
    <row r="114" spans="1:24">
      <c r="C114">
        <v>80000</v>
      </c>
      <c r="F114" t="s">
        <v>1181</v>
      </c>
      <c r="G114">
        <v>400</v>
      </c>
      <c r="H114" s="223">
        <f t="shared" si="12"/>
        <v>0</v>
      </c>
      <c r="L114">
        <f>Себестоимости!A149</f>
        <v>204</v>
      </c>
      <c r="M114" t="str">
        <f>Себестоимости!B149</f>
        <v>ПВХ Kernow самоклейка</v>
      </c>
      <c r="N114" t="str">
        <f>Себестоимости!C149</f>
        <v>Матовый съемный клей</v>
      </c>
      <c r="O114">
        <f>Себестоимости!D149</f>
        <v>0</v>
      </c>
      <c r="P114" t="str">
        <f>Себестоимости!E149</f>
        <v>Белый</v>
      </c>
      <c r="Q114">
        <f>Себестоимости!F149</f>
        <v>242</v>
      </c>
      <c r="U114" s="180">
        <f t="shared" si="8"/>
        <v>0</v>
      </c>
      <c r="V114" s="180" t="str">
        <f t="shared" si="9"/>
        <v>№ 204 ПВХ Kernow самоклейка</v>
      </c>
      <c r="W114" s="180">
        <f t="shared" si="10"/>
        <v>204</v>
      </c>
      <c r="X114" s="180" t="str">
        <f t="shared" si="11"/>
        <v>ПВХ Kernow самоклейка</v>
      </c>
    </row>
    <row r="115" spans="1:24">
      <c r="C115">
        <v>100000</v>
      </c>
      <c r="F115" t="s">
        <v>1182</v>
      </c>
      <c r="G115">
        <v>450</v>
      </c>
      <c r="H115" s="223">
        <f t="shared" si="12"/>
        <v>0</v>
      </c>
      <c r="L115">
        <f>Себестоимости!A150</f>
        <v>205</v>
      </c>
      <c r="M115" t="str">
        <f>Себестоимости!B150</f>
        <v>ПВХ Kernow "под ткань"</v>
      </c>
      <c r="N115" t="str">
        <f>Себестоимости!C150</f>
        <v>Матовый съемный клей</v>
      </c>
      <c r="O115">
        <f>Себестоимости!D150</f>
        <v>0</v>
      </c>
      <c r="P115" t="str">
        <f>Себестоимости!E150</f>
        <v>Белый</v>
      </c>
      <c r="Q115">
        <f>Себестоимости!F150</f>
        <v>100</v>
      </c>
      <c r="U115" s="180">
        <f t="shared" si="8"/>
        <v>0</v>
      </c>
      <c r="V115" s="180" t="str">
        <f t="shared" si="9"/>
        <v>№ 205 ПВХ Kernow "под ткань"</v>
      </c>
      <c r="W115" s="180">
        <f t="shared" si="10"/>
        <v>205</v>
      </c>
      <c r="X115" s="180" t="str">
        <f t="shared" si="11"/>
        <v>ПВХ Kernow "под ткань"</v>
      </c>
    </row>
    <row r="116" spans="1:24">
      <c r="F116" t="s">
        <v>1183</v>
      </c>
      <c r="G116">
        <v>500</v>
      </c>
      <c r="H116" s="223">
        <f t="shared" si="12"/>
        <v>0</v>
      </c>
      <c r="L116">
        <f>Себестоимости!A151</f>
        <v>500</v>
      </c>
      <c r="M116" t="str">
        <f>Себестоимости!B151</f>
        <v>IQ MONDI ZG34 и пастель</v>
      </c>
      <c r="N116" t="str">
        <f>Себестоимости!C151</f>
        <v>Гладкий</v>
      </c>
      <c r="O116">
        <f>Себестоимости!D151</f>
        <v>0</v>
      </c>
      <c r="P116" t="str">
        <f>Себестоимости!E151</f>
        <v>Пастельные цвета</v>
      </c>
      <c r="Q116">
        <f>Себестоимости!F151</f>
        <v>80</v>
      </c>
      <c r="U116" s="180">
        <f t="shared" si="8"/>
        <v>0</v>
      </c>
      <c r="V116" s="180" t="str">
        <f t="shared" si="9"/>
        <v>№ 500 IQ MONDI ZG34 и пастель</v>
      </c>
      <c r="W116" s="180">
        <f t="shared" si="10"/>
        <v>500</v>
      </c>
      <c r="X116" s="180" t="str">
        <f t="shared" si="11"/>
        <v>IQ MONDI ZG34 и пастель</v>
      </c>
    </row>
    <row r="117" spans="1:24">
      <c r="L117">
        <f>Себестоимости!A152</f>
        <v>501</v>
      </c>
      <c r="M117" t="str">
        <f>Себестоимости!B152</f>
        <v>IQ MONDI интенсивные цвета</v>
      </c>
      <c r="N117" t="str">
        <f>Себестоимости!C152</f>
        <v>Гладкий</v>
      </c>
      <c r="O117">
        <f>Себестоимости!D152</f>
        <v>0</v>
      </c>
      <c r="P117" t="str">
        <f>Себестоимости!E152</f>
        <v>Умеренный интенсив</v>
      </c>
      <c r="Q117">
        <f>Себестоимости!F152</f>
        <v>80</v>
      </c>
      <c r="U117" s="180">
        <f t="shared" si="8"/>
        <v>0</v>
      </c>
      <c r="V117" s="180" t="str">
        <f t="shared" si="9"/>
        <v>№ 501 IQ MONDI интенсивные цвета</v>
      </c>
      <c r="W117" s="180">
        <f t="shared" si="10"/>
        <v>501</v>
      </c>
      <c r="X117" s="180" t="str">
        <f t="shared" si="11"/>
        <v>IQ MONDI интенсивные цвета</v>
      </c>
    </row>
    <row r="118" spans="1:24">
      <c r="A118" t="s">
        <v>699</v>
      </c>
      <c r="E118">
        <f>D33</f>
        <v>100</v>
      </c>
      <c r="F118" t="str">
        <f>LOOKUP($E$118,E119:F130)</f>
        <v>Снегурочка</v>
      </c>
      <c r="G118" t="str">
        <f>LOOKUP($E$118,E119:G130)</f>
        <v>Белый</v>
      </c>
      <c r="H118">
        <f>LOOKUP($E$118,E119:H130)</f>
        <v>80</v>
      </c>
      <c r="L118">
        <f>Себестоимости!A153</f>
        <v>502</v>
      </c>
      <c r="M118" t="str">
        <f>Себестоимости!B153</f>
        <v>IQ MONDI</v>
      </c>
      <c r="N118" t="str">
        <f>Себестоимости!C153</f>
        <v>Гладкий</v>
      </c>
      <c r="O118">
        <f>Себестоимости!D153</f>
        <v>0</v>
      </c>
      <c r="P118" t="str">
        <f>Себестоимости!E153</f>
        <v>Интенсив</v>
      </c>
      <c r="Q118">
        <f>Себестоимости!F153</f>
        <v>80</v>
      </c>
      <c r="U118" s="180">
        <f t="shared" si="8"/>
        <v>0</v>
      </c>
      <c r="V118" s="180" t="str">
        <f t="shared" si="9"/>
        <v>№ 502 IQ MONDI</v>
      </c>
      <c r="W118" s="180">
        <f t="shared" si="10"/>
        <v>502</v>
      </c>
      <c r="X118" s="180" t="str">
        <f t="shared" si="11"/>
        <v>IQ MONDI</v>
      </c>
    </row>
    <row r="119" spans="1:24">
      <c r="A119" t="s">
        <v>84</v>
      </c>
      <c r="C119" t="s">
        <v>700</v>
      </c>
      <c r="E119">
        <f>Себестоимости!A129</f>
        <v>100</v>
      </c>
      <c r="F119" t="str">
        <f>Себестоимости!B129</f>
        <v>Снегурочка</v>
      </c>
      <c r="G119" t="str">
        <f>Себестоимости!E129</f>
        <v>Белый</v>
      </c>
      <c r="H119">
        <f>Себестоимости!F129</f>
        <v>80</v>
      </c>
      <c r="L119">
        <f>Себестоимости!A154</f>
        <v>503</v>
      </c>
      <c r="M119" t="str">
        <f>Себестоимости!B154</f>
        <v>IQ MONDI LG46</v>
      </c>
      <c r="N119" t="str">
        <f>Себестоимости!C154</f>
        <v>Гладкий</v>
      </c>
      <c r="O119">
        <f>Себестоимости!D154</f>
        <v>0</v>
      </c>
      <c r="P119" t="str">
        <f>Себестоимости!E154</f>
        <v>Неон</v>
      </c>
      <c r="Q119">
        <f>Себестоимости!F154</f>
        <v>80</v>
      </c>
      <c r="U119" s="180">
        <f t="shared" si="8"/>
        <v>0</v>
      </c>
      <c r="V119" s="180" t="str">
        <f t="shared" si="9"/>
        <v>№ 503 IQ MONDI LG46</v>
      </c>
      <c r="W119" s="180">
        <f t="shared" si="10"/>
        <v>503</v>
      </c>
      <c r="X119" s="180" t="str">
        <f t="shared" si="11"/>
        <v>IQ MONDI LG46</v>
      </c>
    </row>
    <row r="120" spans="1:24">
      <c r="A120" t="s">
        <v>75</v>
      </c>
      <c r="C120" t="s">
        <v>701</v>
      </c>
      <c r="E120">
        <f>Себестоимости!A130</f>
        <v>101</v>
      </c>
      <c r="F120" t="str">
        <f>Себестоимости!B130</f>
        <v>Colorcopy</v>
      </c>
      <c r="G120" t="str">
        <f>Себестоимости!E130</f>
        <v>Белый</v>
      </c>
      <c r="H120">
        <f>Себестоимости!F130</f>
        <v>160</v>
      </c>
      <c r="L120">
        <f>Себестоимости!A155</f>
        <v>504</v>
      </c>
      <c r="M120" t="str">
        <f>Себестоимости!B155</f>
        <v>IQ MONDI NEOGN</v>
      </c>
      <c r="N120" t="str">
        <f>Себестоимости!C155</f>
        <v>Гладкий</v>
      </c>
      <c r="O120">
        <f>Себестоимости!D155</f>
        <v>0</v>
      </c>
      <c r="P120" t="str">
        <f>Себестоимости!E155</f>
        <v>Неон</v>
      </c>
      <c r="Q120">
        <f>Себестоимости!F155</f>
        <v>80</v>
      </c>
      <c r="U120" s="180">
        <f t="shared" si="8"/>
        <v>0</v>
      </c>
      <c r="V120" s="180" t="str">
        <f t="shared" si="9"/>
        <v>№ 504 IQ MONDI NEOGN</v>
      </c>
      <c r="W120" s="180">
        <f t="shared" si="10"/>
        <v>504</v>
      </c>
      <c r="X120" s="180" t="str">
        <f t="shared" si="11"/>
        <v>IQ MONDI NEOGN</v>
      </c>
    </row>
    <row r="121" spans="1:24">
      <c r="A121" t="s">
        <v>76</v>
      </c>
      <c r="E121">
        <f>Себестоимости!A144</f>
        <v>121</v>
      </c>
      <c r="F121" t="str">
        <f>Себестоимости!B144</f>
        <v>Colorcopy</v>
      </c>
      <c r="G121" t="str">
        <f>Себестоимости!E144</f>
        <v>Белый</v>
      </c>
      <c r="H121">
        <f>Себестоимости!F144</f>
        <v>90</v>
      </c>
      <c r="L121">
        <f>Себестоимости!A156</f>
        <v>505</v>
      </c>
      <c r="M121" t="str">
        <f>Себестоимости!B156</f>
        <v>IQ MONDI NEOPI</v>
      </c>
      <c r="N121" t="str">
        <f>Себестоимости!C156</f>
        <v>Гладкий</v>
      </c>
      <c r="O121">
        <f>Себестоимости!D156</f>
        <v>0</v>
      </c>
      <c r="P121" t="str">
        <f>Себестоимости!E156</f>
        <v>Неон</v>
      </c>
      <c r="Q121">
        <f>Себестоимости!F156</f>
        <v>80</v>
      </c>
      <c r="U121" s="180">
        <f t="shared" si="8"/>
        <v>0</v>
      </c>
      <c r="V121" s="180" t="str">
        <f t="shared" si="9"/>
        <v>№ 505 IQ MONDI NEOPI</v>
      </c>
      <c r="W121" s="180">
        <f t="shared" si="10"/>
        <v>505</v>
      </c>
      <c r="X121" s="180" t="str">
        <f t="shared" si="11"/>
        <v>IQ MONDI NEOPI</v>
      </c>
    </row>
    <row r="122" spans="1:24">
      <c r="A122" t="s">
        <v>77</v>
      </c>
      <c r="E122">
        <f>Себестоимости!A151</f>
        <v>500</v>
      </c>
      <c r="F122" t="str">
        <f>Себестоимости!B151</f>
        <v>IQ MONDI ZG34 и пастель</v>
      </c>
      <c r="G122" t="str">
        <f>Себестоимости!E151</f>
        <v>Пастельные цвета</v>
      </c>
      <c r="H122">
        <f>Себестоимости!F151</f>
        <v>80</v>
      </c>
      <c r="L122">
        <f>Себестоимости!A157</f>
        <v>506</v>
      </c>
      <c r="M122" t="str">
        <f>Себестоимости!B157</f>
        <v>IQ MONDI NEOGB</v>
      </c>
      <c r="N122" t="str">
        <f>Себестоимости!C157</f>
        <v>Гладкий</v>
      </c>
      <c r="O122">
        <f>Себестоимости!D157</f>
        <v>0</v>
      </c>
      <c r="P122" t="str">
        <f>Себестоимости!E157</f>
        <v>Неон</v>
      </c>
      <c r="Q122">
        <f>Себестоимости!F157</f>
        <v>80</v>
      </c>
      <c r="U122" s="180">
        <f t="shared" si="8"/>
        <v>0</v>
      </c>
      <c r="V122" s="180" t="str">
        <f t="shared" si="9"/>
        <v>№ 506 IQ MONDI NEOGB</v>
      </c>
      <c r="W122" s="180">
        <f t="shared" si="10"/>
        <v>506</v>
      </c>
      <c r="X122" s="180" t="str">
        <f t="shared" si="11"/>
        <v>IQ MONDI NEOGB</v>
      </c>
    </row>
    <row r="123" spans="1:24">
      <c r="A123" t="s">
        <v>80</v>
      </c>
      <c r="E123">
        <f>Себестоимости!A152</f>
        <v>501</v>
      </c>
      <c r="F123" t="str">
        <f>Себестоимости!B152</f>
        <v>IQ MONDI интенсивные цвета</v>
      </c>
      <c r="G123" t="str">
        <f>Себестоимости!E152</f>
        <v>Умеренный интенсив</v>
      </c>
      <c r="H123">
        <f>Себестоимости!F152</f>
        <v>80</v>
      </c>
      <c r="L123">
        <f>Себестоимости!A158</f>
        <v>507</v>
      </c>
      <c r="M123" t="str">
        <f>Себестоимости!B158</f>
        <v>IQ MONDI NEOOR</v>
      </c>
      <c r="N123" t="str">
        <f>Себестоимости!C158</f>
        <v>Гладкий</v>
      </c>
      <c r="O123">
        <f>Себестоимости!D158</f>
        <v>0</v>
      </c>
      <c r="P123" t="str">
        <f>Себестоимости!E158</f>
        <v>Неон</v>
      </c>
      <c r="Q123">
        <f>Себестоимости!F158</f>
        <v>80</v>
      </c>
      <c r="U123" s="180">
        <f t="shared" si="8"/>
        <v>0</v>
      </c>
      <c r="V123" s="180" t="str">
        <f t="shared" si="9"/>
        <v>№ 507 IQ MONDI NEOOR</v>
      </c>
      <c r="W123" s="180">
        <f t="shared" si="10"/>
        <v>507</v>
      </c>
      <c r="X123" s="180" t="str">
        <f t="shared" si="11"/>
        <v>IQ MONDI NEOOR</v>
      </c>
    </row>
    <row r="124" spans="1:24">
      <c r="A124" t="s">
        <v>81</v>
      </c>
      <c r="E124">
        <f>Себестоимости!A153</f>
        <v>502</v>
      </c>
      <c r="F124" t="str">
        <f>Себестоимости!B153</f>
        <v>IQ MONDI</v>
      </c>
      <c r="G124" t="str">
        <f>Себестоимости!E153</f>
        <v>Интенсив</v>
      </c>
      <c r="H124">
        <f>Себестоимости!F153</f>
        <v>80</v>
      </c>
      <c r="L124">
        <f>Себестоимости!A159</f>
        <v>508</v>
      </c>
      <c r="M124" t="str">
        <f>Себестоимости!B159</f>
        <v>IQ MONDI MA42</v>
      </c>
      <c r="N124" t="str">
        <f>Себестоимости!C159</f>
        <v>Гладкий</v>
      </c>
      <c r="O124">
        <f>Себестоимости!D159</f>
        <v>0</v>
      </c>
      <c r="P124" t="str">
        <f>Себестоимости!E159</f>
        <v>интенсивно-зеленая</v>
      </c>
      <c r="Q124">
        <f>Себестоимости!F159</f>
        <v>160</v>
      </c>
      <c r="U124" s="180">
        <f t="shared" si="8"/>
        <v>0</v>
      </c>
      <c r="V124" s="180" t="str">
        <f t="shared" si="9"/>
        <v>№ 508 IQ MONDI MA42</v>
      </c>
      <c r="W124" s="180">
        <f t="shared" si="10"/>
        <v>508</v>
      </c>
      <c r="X124" s="180" t="str">
        <f t="shared" si="11"/>
        <v>IQ MONDI MA42</v>
      </c>
    </row>
    <row r="125" spans="1:24">
      <c r="A125" t="s">
        <v>82</v>
      </c>
      <c r="E125">
        <f>Себестоимости!A154</f>
        <v>503</v>
      </c>
      <c r="F125" t="str">
        <f>Себестоимости!B154</f>
        <v>IQ MONDI LG46</v>
      </c>
      <c r="G125" t="str">
        <f>Себестоимости!E154</f>
        <v>Неон</v>
      </c>
      <c r="H125">
        <f>Себестоимости!F154</f>
        <v>80</v>
      </c>
      <c r="L125">
        <f>Себестоимости!A160</f>
        <v>550</v>
      </c>
      <c r="M125" t="str">
        <f>Себестоимости!B160</f>
        <v>Majestic</v>
      </c>
      <c r="N125" t="str">
        <f>Себестоимости!C160</f>
        <v>Гладкий</v>
      </c>
      <c r="O125">
        <f>Себестоимости!D160</f>
        <v>0</v>
      </c>
      <c r="P125" t="str">
        <f>Себестоимости!E160</f>
        <v>Волшебная свеча</v>
      </c>
      <c r="Q125">
        <f>Себестоимости!F160</f>
        <v>120</v>
      </c>
      <c r="U125" s="180">
        <f t="shared" si="8"/>
        <v>0</v>
      </c>
      <c r="V125" s="180" t="str">
        <f t="shared" si="9"/>
        <v>№ 550 Majestic</v>
      </c>
      <c r="W125" s="180">
        <f t="shared" si="10"/>
        <v>550</v>
      </c>
      <c r="X125" s="180" t="str">
        <f t="shared" si="11"/>
        <v>Majestic</v>
      </c>
    </row>
    <row r="126" spans="1:24">
      <c r="A126" t="s">
        <v>83</v>
      </c>
      <c r="E126">
        <f>Себестоимости!A155</f>
        <v>504</v>
      </c>
      <c r="F126" t="str">
        <f>Себестоимости!B155</f>
        <v>IQ MONDI NEOGN</v>
      </c>
      <c r="G126" t="str">
        <f>Себестоимости!E155</f>
        <v>Неон</v>
      </c>
      <c r="H126">
        <f>Себестоимости!F155</f>
        <v>80</v>
      </c>
      <c r="L126">
        <f>Себестоимости!A161</f>
        <v>600</v>
      </c>
      <c r="M126" t="str">
        <f>Себестоимости!B161</f>
        <v xml:space="preserve">Наклейки </v>
      </c>
      <c r="N126" t="str">
        <f>Себестоимости!C161</f>
        <v>самоклейка</v>
      </c>
      <c r="O126">
        <f>Себестоимости!D161</f>
        <v>0</v>
      </c>
      <c r="P126" t="str">
        <f>Себестоимости!E161</f>
        <v>белый</v>
      </c>
      <c r="Q126">
        <f>Себестоимости!F161</f>
        <v>80</v>
      </c>
      <c r="U126" s="180">
        <f t="shared" si="8"/>
        <v>0</v>
      </c>
      <c r="V126" s="180" t="str">
        <f t="shared" si="9"/>
        <v xml:space="preserve">№ 600 Наклейки </v>
      </c>
      <c r="W126" s="180">
        <f t="shared" si="10"/>
        <v>600</v>
      </c>
      <c r="X126" s="180" t="str">
        <f t="shared" si="11"/>
        <v xml:space="preserve">Наклейки </v>
      </c>
    </row>
    <row r="127" spans="1:24">
      <c r="A127" t="s">
        <v>20</v>
      </c>
      <c r="E127">
        <f>Себестоимости!A156</f>
        <v>505</v>
      </c>
      <c r="F127" t="str">
        <f>Себестоимости!B156</f>
        <v>IQ MONDI NEOPI</v>
      </c>
      <c r="G127" t="str">
        <f>Себестоимости!E156</f>
        <v>Неон</v>
      </c>
      <c r="H127">
        <f>Себестоимости!F156</f>
        <v>80</v>
      </c>
      <c r="L127">
        <f>Себестоимости!A162</f>
        <v>601</v>
      </c>
      <c r="M127" t="str">
        <f>Себестоимости!B162</f>
        <v>Наклейки вырубные</v>
      </c>
      <c r="N127" t="str">
        <f>Себестоимости!C162</f>
        <v>самоклейка</v>
      </c>
      <c r="O127">
        <f>Себестоимости!D162</f>
        <v>0</v>
      </c>
      <c r="P127" t="str">
        <f>Себестоимости!E162</f>
        <v>белый</v>
      </c>
      <c r="Q127">
        <f>Себестоимости!F162</f>
        <v>80</v>
      </c>
      <c r="U127" s="180">
        <f t="shared" si="8"/>
        <v>0</v>
      </c>
      <c r="V127" s="180" t="str">
        <f t="shared" si="9"/>
        <v>№ 601 Наклейки вырубные</v>
      </c>
      <c r="W127" s="180">
        <f t="shared" si="10"/>
        <v>601</v>
      </c>
      <c r="X127" s="180" t="str">
        <f t="shared" si="11"/>
        <v>Наклейки вырубные</v>
      </c>
    </row>
    <row r="128" spans="1:24">
      <c r="A128" t="s">
        <v>78</v>
      </c>
      <c r="E128">
        <f>Себестоимости!A157</f>
        <v>506</v>
      </c>
      <c r="F128" t="str">
        <f>Себестоимости!B157</f>
        <v>IQ MONDI NEOGB</v>
      </c>
      <c r="G128" t="str">
        <f>Себестоимости!E157</f>
        <v>Неон</v>
      </c>
      <c r="H128">
        <f>Себестоимости!F157</f>
        <v>80</v>
      </c>
      <c r="L128">
        <f>Себестоимости!A163</f>
        <v>602</v>
      </c>
      <c r="M128" t="str">
        <f>Себестоимости!B163</f>
        <v>Наклейки вырубные</v>
      </c>
      <c r="N128" t="str">
        <f>Себестоимости!C163</f>
        <v>самоклейка</v>
      </c>
      <c r="O128">
        <f>Себестоимости!D163</f>
        <v>0</v>
      </c>
      <c r="P128" t="str">
        <f>Себестоимости!E163</f>
        <v>цветные</v>
      </c>
      <c r="Q128">
        <f>Себестоимости!F163</f>
        <v>80</v>
      </c>
      <c r="U128" s="180">
        <f t="shared" si="8"/>
        <v>0</v>
      </c>
      <c r="V128" s="180" t="str">
        <f t="shared" si="9"/>
        <v>№ 602 Наклейки вырубные</v>
      </c>
      <c r="W128" s="180">
        <f t="shared" si="10"/>
        <v>602</v>
      </c>
      <c r="X128" s="180" t="str">
        <f t="shared" si="11"/>
        <v>Наклейки вырубные</v>
      </c>
    </row>
    <row r="129" spans="1:24">
      <c r="A129" t="s">
        <v>45</v>
      </c>
      <c r="E129">
        <f>Себестоимости!A158</f>
        <v>507</v>
      </c>
      <c r="F129" t="str">
        <f>Себестоимости!B158</f>
        <v>IQ MONDI NEOOR</v>
      </c>
      <c r="G129" t="str">
        <f>Себестоимости!E158</f>
        <v>Неон</v>
      </c>
      <c r="H129">
        <f>Себестоимости!F158</f>
        <v>80</v>
      </c>
      <c r="L129">
        <f>Себестоимости!A165</f>
        <v>650</v>
      </c>
      <c r="M129" t="str">
        <f>Себестоимости!B165</f>
        <v>Тетрадный блок</v>
      </c>
      <c r="N129" t="str">
        <f>Себестоимости!C165</f>
        <v>блок</v>
      </c>
      <c r="O129">
        <f>Себестоимости!D165</f>
        <v>0</v>
      </c>
      <c r="P129" t="str">
        <f>Себестоимости!E165</f>
        <v>цветной</v>
      </c>
      <c r="Q129">
        <f>Себестоимости!F165</f>
        <v>80</v>
      </c>
      <c r="U129" s="180">
        <f t="shared" si="8"/>
        <v>0</v>
      </c>
      <c r="V129" s="180" t="str">
        <f t="shared" si="9"/>
        <v>№ 650 Тетрадный блок</v>
      </c>
      <c r="W129" s="180">
        <f t="shared" si="10"/>
        <v>650</v>
      </c>
      <c r="X129" s="180" t="str">
        <f t="shared" si="11"/>
        <v>Тетрадный блок</v>
      </c>
    </row>
    <row r="130" spans="1:24">
      <c r="A130" t="s">
        <v>50</v>
      </c>
      <c r="E130">
        <f>Себестоимости!A159</f>
        <v>508</v>
      </c>
      <c r="F130" t="str">
        <f>Себестоимости!B159</f>
        <v>IQ MONDI MA42</v>
      </c>
      <c r="G130" t="str">
        <f>Себестоимости!E159</f>
        <v>интенсивно-зеленая</v>
      </c>
      <c r="H130">
        <f>Себестоимости!F159</f>
        <v>160</v>
      </c>
      <c r="L130">
        <f>Себестоимости!A166</f>
        <v>651</v>
      </c>
      <c r="M130" t="str">
        <f>Себестоимости!B166</f>
        <v>Тетрадный блок</v>
      </c>
      <c r="N130" t="str">
        <f>Себестоимости!C166</f>
        <v>блок</v>
      </c>
      <c r="O130">
        <f>Себестоимости!D166</f>
        <v>0</v>
      </c>
      <c r="P130" t="str">
        <f>Себестоимости!E166</f>
        <v>белый</v>
      </c>
      <c r="Q130">
        <f>Себестоимости!F166</f>
        <v>80</v>
      </c>
      <c r="U130" s="180">
        <f t="shared" si="8"/>
        <v>0</v>
      </c>
      <c r="V130" s="180" t="str">
        <f t="shared" si="9"/>
        <v>№ 651 Тетрадный блок</v>
      </c>
      <c r="W130" s="180">
        <f t="shared" si="10"/>
        <v>651</v>
      </c>
      <c r="X130" s="180" t="str">
        <f t="shared" si="11"/>
        <v>Тетрадный блок</v>
      </c>
    </row>
    <row r="131" spans="1:24">
      <c r="A131" t="s">
        <v>55</v>
      </c>
      <c r="E131">
        <f>Себестоимости!A40</f>
        <v>1</v>
      </c>
      <c r="F131" t="str">
        <f>Себестоимости!B40</f>
        <v>Офсет Россия</v>
      </c>
      <c r="G131" t="str">
        <f>Себестоимости!E40</f>
        <v>белый офсет</v>
      </c>
      <c r="H131">
        <f>Себестоимости!F40</f>
        <v>160</v>
      </c>
      <c r="L131">
        <f>Себестоимости!A167</f>
        <v>8479</v>
      </c>
      <c r="M131" t="str">
        <f>Себестоимости!B167</f>
        <v>Конверты</v>
      </c>
      <c r="N131">
        <f>Себестоимости!C167</f>
        <v>0</v>
      </c>
      <c r="O131">
        <f>Себестоимости!D167</f>
        <v>0</v>
      </c>
      <c r="P131">
        <f>Себестоимости!E167</f>
        <v>0</v>
      </c>
      <c r="Q131">
        <f>Себестоимости!F167</f>
        <v>0</v>
      </c>
      <c r="U131" s="180">
        <f t="shared" si="8"/>
        <v>0</v>
      </c>
      <c r="V131" s="180" t="str">
        <f t="shared" si="9"/>
        <v>№ 8479 Конверты</v>
      </c>
      <c r="W131" s="180">
        <f t="shared" si="10"/>
        <v>8479</v>
      </c>
      <c r="X131" s="180" t="str">
        <f t="shared" si="11"/>
        <v>Конверты</v>
      </c>
    </row>
    <row r="132" spans="1:24">
      <c r="A132" t="s">
        <v>60</v>
      </c>
      <c r="L132">
        <f>Себестоимости!A168</f>
        <v>8480</v>
      </c>
      <c r="M132" t="str">
        <f>Себестоимости!B168</f>
        <v>Конверт Евро</v>
      </c>
      <c r="N132" t="str">
        <f>Себестоимости!C168</f>
        <v>Конверт</v>
      </c>
      <c r="O132">
        <f>Себестоимости!D168</f>
        <v>0</v>
      </c>
      <c r="P132" t="str">
        <f>Себестоимости!E168</f>
        <v>белый</v>
      </c>
      <c r="Q132">
        <f>Себестоимости!F168</f>
        <v>177</v>
      </c>
      <c r="U132" s="180">
        <f t="shared" si="8"/>
        <v>0</v>
      </c>
      <c r="V132" s="180" t="str">
        <f t="shared" si="9"/>
        <v>№ 8480 Конверт Евро</v>
      </c>
      <c r="W132" s="180">
        <f t="shared" si="10"/>
        <v>8480</v>
      </c>
      <c r="X132" s="180" t="str">
        <f t="shared" si="11"/>
        <v>Конверт Евро</v>
      </c>
    </row>
    <row r="133" spans="1:24">
      <c r="A133" t="s">
        <v>65</v>
      </c>
      <c r="L133">
        <f>Себестоимости!A169</f>
        <v>8481</v>
      </c>
      <c r="M133" t="str">
        <f>Себестоимости!B169</f>
        <v>Конверт А5</v>
      </c>
      <c r="N133" t="str">
        <f>Себестоимости!C169</f>
        <v>Конверт</v>
      </c>
      <c r="O133">
        <f>Себестоимости!D169</f>
        <v>0</v>
      </c>
      <c r="P133" t="str">
        <f>Себестоимости!E169</f>
        <v>белый</v>
      </c>
      <c r="Q133">
        <f>Себестоимости!F169</f>
        <v>178</v>
      </c>
      <c r="U133" s="180">
        <f t="shared" si="8"/>
        <v>0</v>
      </c>
      <c r="V133" s="180" t="str">
        <f t="shared" si="9"/>
        <v>№ 8481 Конверт А5</v>
      </c>
      <c r="W133" s="180">
        <f t="shared" si="10"/>
        <v>8481</v>
      </c>
      <c r="X133" s="180" t="str">
        <f t="shared" si="11"/>
        <v>Конверт А5</v>
      </c>
    </row>
    <row r="134" spans="1:24">
      <c r="A134" t="s">
        <v>70</v>
      </c>
      <c r="L134">
        <f>Себестоимости!A170</f>
        <v>8482</v>
      </c>
      <c r="M134" t="str">
        <f>Себестоимости!B170</f>
        <v>Конферт А6</v>
      </c>
      <c r="N134" t="str">
        <f>Себестоимости!C170</f>
        <v>Конверт</v>
      </c>
      <c r="O134">
        <f>Себестоимости!D170</f>
        <v>0</v>
      </c>
      <c r="P134" t="str">
        <f>Себестоимости!E170</f>
        <v>белый</v>
      </c>
      <c r="Q134">
        <f>Себестоимости!F170</f>
        <v>179</v>
      </c>
      <c r="U134" s="180">
        <f t="shared" si="8"/>
        <v>0</v>
      </c>
      <c r="V134" s="180" t="str">
        <f t="shared" si="9"/>
        <v>№ 8482 Конферт А6</v>
      </c>
      <c r="W134" s="180">
        <f t="shared" si="10"/>
        <v>8482</v>
      </c>
      <c r="X134" s="180" t="str">
        <f t="shared" si="11"/>
        <v>Конферт А6</v>
      </c>
    </row>
    <row r="135" spans="1:24">
      <c r="L135">
        <f>Себестоимости!A171</f>
        <v>8500</v>
      </c>
      <c r="M135" t="str">
        <f>Себестоимости!B171</f>
        <v>Majestic</v>
      </c>
      <c r="N135" t="str">
        <f>Себестоимости!C171</f>
        <v>Конверт</v>
      </c>
      <c r="O135">
        <f>Себестоимости!D171</f>
        <v>0</v>
      </c>
      <c r="P135" t="str">
        <f>Себестоимости!E171</f>
        <v>Волшебная свеча</v>
      </c>
      <c r="Q135">
        <f>Себестоимости!F171</f>
        <v>180</v>
      </c>
      <c r="U135" s="180">
        <f t="shared" si="8"/>
        <v>0</v>
      </c>
      <c r="V135" s="180" t="str">
        <f t="shared" si="9"/>
        <v>№ 8500 Majestic</v>
      </c>
      <c r="W135" s="180">
        <f t="shared" si="10"/>
        <v>8500</v>
      </c>
      <c r="X135" s="180" t="str">
        <f t="shared" si="11"/>
        <v>Majestic</v>
      </c>
    </row>
    <row r="136" spans="1:24">
      <c r="L136">
        <f>Себестоимости!A172</f>
        <v>8501</v>
      </c>
      <c r="M136" t="str">
        <f>Себестоимости!B172</f>
        <v>Majestic</v>
      </c>
      <c r="N136" t="str">
        <f>Себестоимости!C172</f>
        <v>Конверт</v>
      </c>
      <c r="O136">
        <f>Себестоимости!D172</f>
        <v>0</v>
      </c>
      <c r="P136" t="str">
        <f>Себестоимости!E172</f>
        <v>Сияние золота</v>
      </c>
      <c r="Q136">
        <f>Себестоимости!F172</f>
        <v>180</v>
      </c>
      <c r="U136" s="180">
        <f t="shared" si="8"/>
        <v>0</v>
      </c>
      <c r="V136" s="180" t="str">
        <f t="shared" si="9"/>
        <v>№ 8501 Majestic</v>
      </c>
      <c r="W136" s="180">
        <f t="shared" si="10"/>
        <v>8501</v>
      </c>
      <c r="X136" s="180" t="str">
        <f t="shared" si="11"/>
        <v>Majestic</v>
      </c>
    </row>
    <row r="137" spans="1:24">
      <c r="A137" t="s">
        <v>1041</v>
      </c>
      <c r="L137">
        <f>Себестоимости!A173</f>
        <v>8502</v>
      </c>
      <c r="M137" t="str">
        <f>Себестоимости!B173</f>
        <v>Majestic</v>
      </c>
      <c r="N137" t="str">
        <f>Себестоимости!C173</f>
        <v>Конверт</v>
      </c>
      <c r="O137">
        <f>Себестоимости!D173</f>
        <v>0</v>
      </c>
      <c r="P137" t="str">
        <f>Себестоимости!E173</f>
        <v>Лунное серебро</v>
      </c>
      <c r="Q137">
        <f>Себестоимости!F173</f>
        <v>180</v>
      </c>
      <c r="U137" s="180">
        <f t="shared" si="8"/>
        <v>0</v>
      </c>
      <c r="V137" s="180" t="str">
        <f t="shared" si="9"/>
        <v>№ 8502 Majestic</v>
      </c>
      <c r="W137" s="180">
        <f t="shared" si="10"/>
        <v>8502</v>
      </c>
      <c r="X137" s="180" t="str">
        <f t="shared" si="11"/>
        <v>Majestic</v>
      </c>
    </row>
    <row r="138" spans="1:24">
      <c r="A138" t="str">
        <f>Себестоимости!B242</f>
        <v>Обложки П.П. непрозрачные, 0.30мм, А4, желтый</v>
      </c>
    </row>
    <row r="139" spans="1:24">
      <c r="A139" t="str">
        <f>Себестоимости!B243</f>
        <v>Обложки ПВХ прозрачные, 0.15мм, А4, б/цв</v>
      </c>
    </row>
    <row r="140" spans="1:24">
      <c r="A140" t="str">
        <f>Себестоимости!B244</f>
        <v>Обложки П.П. прозрачные рифленые, 0.35мм, А4, желтый</v>
      </c>
    </row>
    <row r="141" spans="1:24">
      <c r="A141" t="str">
        <f>Себестоимости!B245</f>
        <v>Обложки П.П. прозрачные рифленые, 0.40мм, А4, б/цв</v>
      </c>
    </row>
    <row r="142" spans="1:24">
      <c r="A142" t="str">
        <f>Себестоимости!B246</f>
        <v>Обложки П.П. прозрачные рифленые, 0.40мм, А4, дымчатый</v>
      </c>
    </row>
    <row r="143" spans="1:24">
      <c r="A143" t="str">
        <f>Себестоимости!B247</f>
        <v>Обложки П.П. прозрачные рифленые, 0.40мм, А4, желтый</v>
      </c>
    </row>
    <row r="144" spans="1:24">
      <c r="A144" t="str">
        <f>Себестоимости!B248</f>
        <v>Обложки П.П. прозрачные рифленые, 0.40мм, А4, зеленый</v>
      </c>
    </row>
    <row r="145" spans="1:1">
      <c r="A145" t="str">
        <f>Себестоимости!B249</f>
        <v>Обложки П.П. прозрачные рифленые, 0.40мм, А4, красный</v>
      </c>
    </row>
    <row r="146" spans="1:1">
      <c r="A146" t="str">
        <f>Себестоимости!B250</f>
        <v>Обложки П.П. прозрачные рифленые, 0.40мм, А4, розовый</v>
      </c>
    </row>
    <row r="147" spans="1:1">
      <c r="A147" t="str">
        <f>Себестоимости!B251</f>
        <v>Обложки П.П. прозрачные рифленые, 0.40мм, А4, синий</v>
      </c>
    </row>
    <row r="148" spans="1:1">
      <c r="A148" t="str">
        <f>Себестоимости!B252</f>
        <v>Обложки П.П. непрозрачные, 0.40мм, А4, белый</v>
      </c>
    </row>
    <row r="149" spans="1:1">
      <c r="A149" t="str">
        <f>Себестоимости!B253</f>
        <v>Обложки П.П. непрозрачные, 0.40мм, А4, желтый</v>
      </c>
    </row>
    <row r="150" spans="1:1">
      <c r="A150" t="str">
        <f>Себестоимости!B254</f>
        <v>Обложки П.П. непрозрачные, 0.40мм, А4, зеленый</v>
      </c>
    </row>
    <row r="151" spans="1:1">
      <c r="A151" t="str">
        <f>Себестоимости!B255</f>
        <v>Обложки П.П. непрозрачные, 0.40мм, А4, красный</v>
      </c>
    </row>
    <row r="152" spans="1:1">
      <c r="A152" t="str">
        <f>Себестоимости!B256</f>
        <v>Обложки П.П. непрозрачные, 0.40мм, А4, синий</v>
      </c>
    </row>
    <row r="153" spans="1:1">
      <c r="A153" t="str">
        <f>Себестоимости!B257</f>
        <v>Обложки П.П. непрозрачные, 0.40мм, А4, черный</v>
      </c>
    </row>
    <row r="154" spans="1:1">
      <c r="A154" t="str">
        <f>Себестоимости!B258</f>
        <v>Обложки П.П. непрозрачные, 0.40мм, А4, серый</v>
      </c>
    </row>
    <row r="155" spans="1:1">
      <c r="A155" t="str">
        <f>Себестоимости!B259</f>
        <v>Обложки ПВХ прозрачные, 0.18мм, А4, б/цв</v>
      </c>
    </row>
    <row r="156" spans="1:1">
      <c r="A156" t="str">
        <f>Себестоимости!B260</f>
        <v>Обложки П.П. прозрачные матовые, 0.40мм, А4, б/цв</v>
      </c>
    </row>
    <row r="157" spans="1:1">
      <c r="A157" t="str">
        <f>Себестоимости!B261</f>
        <v>Обложки П.П. прозрачные матовые, 0.40мм, А4, зеленый</v>
      </c>
    </row>
    <row r="158" spans="1:1">
      <c r="A158" t="str">
        <f>Себестоимости!B262</f>
        <v>Обложки П.П. прозрачные матовые, 0.40мм, А4, розовый</v>
      </c>
    </row>
    <row r="159" spans="1:1">
      <c r="A159" t="str">
        <f>Себестоимости!B263</f>
        <v>Обложки П.П. прозрачные матовые, 0.40мм, А4, синий</v>
      </c>
    </row>
    <row r="160" spans="1:1">
      <c r="A160" t="str">
        <f>Себестоимости!B264</f>
        <v>Обложки П.П. прозрачные матовые, 0.40мм, А4, дымчатые</v>
      </c>
    </row>
    <row r="161" spans="1:1">
      <c r="A161" t="str">
        <f>Себестоимости!B265</f>
        <v>Обложки П.П. прозрачные матовые, 0.40мм, А4, желтый</v>
      </c>
    </row>
    <row r="162" spans="1:1">
      <c r="A162" t="str">
        <f>Себестоимости!B266</f>
        <v>Обложки ПВХ прозрачные, 0.18мм, А4, синий</v>
      </c>
    </row>
    <row r="163" spans="1:1">
      <c r="A163" t="str">
        <f>Себестоимости!B267</f>
        <v>Обложки ПВХ прозрачные, 0.18мм, А4, зеленый</v>
      </c>
    </row>
    <row r="164" spans="1:1">
      <c r="A164" t="str">
        <f>Себестоимости!B268</f>
        <v>Обложки ПВХ прозрачные, 0.18мм, А4, красный</v>
      </c>
    </row>
    <row r="165" spans="1:1">
      <c r="A165" t="str">
        <f>Себестоимости!B269</f>
        <v>Обложки ПВХ прозрачные, 0.18мм, А4, коричневый</v>
      </c>
    </row>
    <row r="166" spans="1:1">
      <c r="A166" t="str">
        <f>Себестоимости!B270</f>
        <v>Обложки ПВХ прозрачные, 0.18мм, А4, дымчатый</v>
      </c>
    </row>
    <row r="167" spans="1:1">
      <c r="A167" t="str">
        <f>Себестоимости!B271</f>
        <v>Обложки ПВХ прозрачные, 0.18мм, А4, желтый</v>
      </c>
    </row>
    <row r="168" spans="1:1">
      <c r="A168" t="str">
        <f>Себестоимости!B272</f>
        <v>Обложки ПВХ прозрачные, 0.20мм, А4, б/цв</v>
      </c>
    </row>
    <row r="169" spans="1:1">
      <c r="A169" t="str">
        <f>Себестоимости!B273</f>
        <v>Обложки ПВХ прозрачные, 0.18мм, А4, б/цв, матовые</v>
      </c>
    </row>
    <row r="170" spans="1:1">
      <c r="A170" t="str">
        <f>Себестоимости!B274</f>
        <v>Обложки ПВХ прозрачные, 0.20мм, А4, желтый</v>
      </c>
    </row>
    <row r="171" spans="1:1">
      <c r="A171" t="str">
        <f>Себестоимости!B275</f>
        <v>Обложки ПВХ прозрачные, 0.20мм, А4, зеленый</v>
      </c>
    </row>
    <row r="172" spans="1:1">
      <c r="A172" t="str">
        <f>Себестоимости!B276</f>
        <v>Обложки ПВХ прозрачные, 0.20мм, А4, коричневый</v>
      </c>
    </row>
    <row r="173" spans="1:1">
      <c r="A173" t="str">
        <f>Себестоимости!B277</f>
        <v>Обложки ПВХ прозрачные, 0.20мм, А4, красный</v>
      </c>
    </row>
    <row r="174" spans="1:1">
      <c r="A174" t="str">
        <f>Себестоимости!B278</f>
        <v>Обложки ПВХ прозрачные, 0.20мм, А4, синий</v>
      </c>
    </row>
    <row r="175" spans="1:1">
      <c r="A175" t="str">
        <f>Себестоимости!B279</f>
        <v>Обложки ПВХ прозрачные, 0.20мм, А4, дымчатый</v>
      </c>
    </row>
    <row r="176" spans="1:1">
      <c r="A176" t="str">
        <f>Себестоимости!B280</f>
        <v>Обложки ПВХ прозрачные, 0.18мм, А4, б/цв, "кожа"</v>
      </c>
    </row>
    <row r="177" spans="1:1">
      <c r="A177" t="str">
        <f>Себестоимости!B281</f>
        <v>Обложки ПВХ прозрачные, 0.18мм, А4, дымчатый, "кожа"</v>
      </c>
    </row>
    <row r="178" spans="1:1">
      <c r="A178" t="str">
        <f>Себестоимости!B282</f>
        <v>Обложки ПВХ прозрачные, 0.18мм, А4, желтый, "кожа"</v>
      </c>
    </row>
    <row r="179" spans="1:1">
      <c r="A179" t="str">
        <f>Себестоимости!B283</f>
        <v>Обложки ПВХ прозрачные, 0.18мм, А4, зеленый, "кожа"</v>
      </c>
    </row>
    <row r="180" spans="1:1">
      <c r="A180" t="str">
        <f>Себестоимости!B284</f>
        <v>Обложки ПВХ прозрачные, 0.18мм, А4, красный, "кожа"</v>
      </c>
    </row>
    <row r="181" spans="1:1">
      <c r="A181" t="str">
        <f>Себестоимости!B285</f>
        <v>Обложки ПВХ прозрачные, 0.18мм, А4, синий, "кожа"</v>
      </c>
    </row>
    <row r="182" spans="1:1">
      <c r="A182" t="str">
        <f>Себестоимости!B286</f>
        <v>Обложки ПВХ прозрачные, 0.18мм, А4, б/цв, "кристалл"</v>
      </c>
    </row>
    <row r="183" spans="1:1">
      <c r="A183" t="str">
        <f>Себестоимости!B287</f>
        <v>Обложки ПВХ прозрачные, 0.18мм, А4, вишневый, "кристалл"</v>
      </c>
    </row>
    <row r="184" spans="1:1">
      <c r="A184" t="str">
        <f>Себестоимости!B288</f>
        <v>Обложки ПВХ прозрачные, 0.18мм, А4, дымчатый, "кристалл"</v>
      </c>
    </row>
    <row r="185" spans="1:1">
      <c r="A185" t="str">
        <f>Себестоимости!B289</f>
        <v>Обложки ПВХ прозрачные, 0.18мм, А4, желтый, "кристалл"</v>
      </c>
    </row>
    <row r="186" spans="1:1">
      <c r="A186" t="str">
        <f>Себестоимости!B290</f>
        <v>Обложки ПВХ прозрачные, 0.18мм, А4, зеленый, "кристалл"</v>
      </c>
    </row>
    <row r="187" spans="1:1">
      <c r="A187" t="str">
        <f>Себестоимости!B291</f>
        <v>Обложки ПВХ прозрачные, 0.18мм, А4, коричневый, "кристалл"</v>
      </c>
    </row>
    <row r="188" spans="1:1">
      <c r="A188" t="str">
        <f>Себестоимости!B292</f>
        <v>Обложки ПВХ прозрачные, 0.18мм, А4, синий, "кристалл"</v>
      </c>
    </row>
    <row r="189" spans="1:1">
      <c r="A189" t="str">
        <f>Себестоимости!B293</f>
        <v>Обложки ПВХ прозрачные, 0.18мм, А4, красный, "кристалл"</v>
      </c>
    </row>
    <row r="190" spans="1:1">
      <c r="A190" t="str">
        <f>Себестоимости!B294</f>
        <v>Обложки ПВХ прозрачные, 0.18мм, А4, оранжевый, "кристалл"</v>
      </c>
    </row>
    <row r="191" spans="1:1">
      <c r="A191" t="str">
        <f>Себестоимости!B295</f>
        <v>Обложки ПВХ прозрачные, 0.25мм, А4, б/цв</v>
      </c>
    </row>
    <row r="192" spans="1:1">
      <c r="A192" t="str">
        <f>Себестоимости!B296</f>
        <v>Обложки ПВХ прозрачные, 0.30мм, А4, б/цв</v>
      </c>
    </row>
    <row r="193" spans="1:1">
      <c r="A193" t="str">
        <f>Себестоимости!B297</f>
        <v>Обложки ПВХ прозрачные, 0.15мм, А3, б/цв</v>
      </c>
    </row>
    <row r="194" spans="1:1">
      <c r="A194" t="str">
        <f>Себестоимости!B298</f>
        <v>Обложки ПВХ прозрачные, 0.18мм, А3, бесцветный</v>
      </c>
    </row>
    <row r="195" spans="1:1">
      <c r="A195" t="str">
        <f>Себестоимости!B299</f>
        <v>Обложки ПВХ прозрачные, 0.20мм, А3, б/цв</v>
      </c>
    </row>
    <row r="196" spans="1:1">
      <c r="A196" t="str">
        <f>Себестоимости!B300</f>
        <v>Обложки ПВХ прозрачные, 0.18мм, А3, желтый</v>
      </c>
    </row>
    <row r="197" spans="1:1">
      <c r="A197" t="str">
        <f>Себестоимости!B301</f>
        <v>Обложки ПВХ прозрачные, 0.18мм, А3, дымчатый</v>
      </c>
    </row>
    <row r="198" spans="1:1">
      <c r="A198" t="str">
        <f>Себестоимости!B302</f>
        <v>Обложки ПВХ прозрачные, 0.18мм, А3, зеленый</v>
      </c>
    </row>
    <row r="199" spans="1:1">
      <c r="A199" t="str">
        <f>Себестоимости!B303</f>
        <v>Обложки ПВХ прозрачные, 0.18мм, А3, красный</v>
      </c>
    </row>
    <row r="200" spans="1:1">
      <c r="A200" t="str">
        <f>Себестоимости!B304</f>
        <v>Обложки ПВХ прозрачные, 0.18мм, А3, синий</v>
      </c>
    </row>
    <row r="201" spans="1:1">
      <c r="A201" t="str">
        <f>Себестоимости!B305</f>
        <v>Обложки ПВХ прозрачные, 0.18мм, А3, коричневый</v>
      </c>
    </row>
    <row r="202" spans="1:1">
      <c r="A202" t="str">
        <f>Себестоимости!B306</f>
        <v>Обложки ПВХ прозрачные, 0.20мм, А3, синий</v>
      </c>
    </row>
    <row r="203" spans="1:1">
      <c r="A203" t="str">
        <f>Себестоимости!B307</f>
        <v>Обложки ПВХ прозрачные, 0.20мм, А3, дымчатый</v>
      </c>
    </row>
    <row r="204" spans="1:1">
      <c r="A204" t="str">
        <f>Себестоимости!B308</f>
        <v>Обложки ПВХ прозрачные, 0.20мм, А3, желтый</v>
      </c>
    </row>
    <row r="205" spans="1:1">
      <c r="A205" t="str">
        <f>Себестоимости!B309</f>
        <v>Обложки ПВХ прозрачные, 0.20мм, А3, зеленый</v>
      </c>
    </row>
    <row r="206" spans="1:1">
      <c r="A206" t="str">
        <f>Себестоимости!B310</f>
        <v>Обложки ПВХ прозрачные, 0.20мм, А3, коричневый</v>
      </c>
    </row>
    <row r="207" spans="1:1">
      <c r="A207" t="str">
        <f>Себестоимости!B311</f>
        <v>Обложки ПВХ прозрачные, 0.20мм, А3, красный</v>
      </c>
    </row>
    <row r="208" spans="1:1">
      <c r="A208" t="str">
        <f>Себестоимости!B312</f>
        <v>Обложки ПВХ прозрачные, 0.25мм, А3, бесцветный</v>
      </c>
    </row>
    <row r="209" spans="1:1">
      <c r="A209" t="str">
        <f>Себестоимости!B313</f>
        <v>Обложки ПВХ прозрачные, 0.30мм, А3, б/цв</v>
      </c>
    </row>
  </sheetData>
  <mergeCells count="4">
    <mergeCell ref="A6:J8"/>
    <mergeCell ref="A34:G34"/>
    <mergeCell ref="E16:F16"/>
    <mergeCell ref="H23:K23"/>
  </mergeCells>
  <dataValidations count="25">
    <dataValidation type="list" allowBlank="1" showInputMessage="1" showErrorMessage="1" sqref="J22 I19">
      <formula1>$I$81:$I$85</formula1>
    </dataValidation>
    <dataValidation type="list" allowBlank="1" showInputMessage="1" showErrorMessage="1" sqref="E5:F5 J10:J11 A23:B23 D23:G23">
      <formula1>$I$65:$I$66</formula1>
    </dataValidation>
    <dataValidation type="list" allowBlank="1" showInputMessage="1" showErrorMessage="1" sqref="H29:J29 G33">
      <formula1>$H$98:$H$99</formula1>
    </dataValidation>
    <dataValidation type="list" allowBlank="1" showInputMessage="1" showErrorMessage="1" sqref="G29">
      <formula1>$F$98:$F$102</formula1>
    </dataValidation>
    <dataValidation type="list" allowBlank="1" showInputMessage="1" showErrorMessage="1" sqref="A29">
      <formula1>$A$97:$A$109</formula1>
    </dataValidation>
    <dataValidation type="list" allowBlank="1" showInputMessage="1" showErrorMessage="1" sqref="B29">
      <formula1>$C$98:$C$115</formula1>
    </dataValidation>
    <dataValidation type="list" allowBlank="1" showInputMessage="1" showErrorMessage="1" sqref="C29">
      <formula1>$D$102:$D$103</formula1>
    </dataValidation>
    <dataValidation type="list" allowBlank="1" showInputMessage="1" showErrorMessage="1" sqref="D29">
      <formula1>$D$98:$D$100</formula1>
    </dataValidation>
    <dataValidation type="list" allowBlank="1" showInputMessage="1" showErrorMessage="1" sqref="K29">
      <formula1>$H$97:$H$99</formula1>
    </dataValidation>
    <dataValidation type="list" allowBlank="1" showInputMessage="1" showErrorMessage="1" sqref="A5">
      <formula1>$A$65:$A$85</formula1>
    </dataValidation>
    <dataValidation type="list" allowBlank="1" showInputMessage="1" showErrorMessage="1" sqref="C5">
      <formula1>$E$65:$E$67</formula1>
    </dataValidation>
    <dataValidation type="list" allowBlank="1" showInputMessage="1" showErrorMessage="1" sqref="C3">
      <formula1>$E$66:$E$67</formula1>
    </dataValidation>
    <dataValidation type="list" allowBlank="1" showInputMessage="1" showErrorMessage="1" sqref="E3">
      <formula1>$J$65:$J$67</formula1>
    </dataValidation>
    <dataValidation type="list" allowBlank="1" showInputMessage="1" showErrorMessage="1" sqref="A19">
      <formula1>$H$67:$H$80</formula1>
    </dataValidation>
    <dataValidation type="list" allowBlank="1" showInputMessage="1" showErrorMessage="1" sqref="D20">
      <formula1>$H$88:$H$90</formula1>
    </dataValidation>
    <dataValidation type="list" allowBlank="1" showInputMessage="1" showErrorMessage="1" sqref="D19 G19">
      <formula1>$I$81:$I$84</formula1>
    </dataValidation>
    <dataValidation type="list" allowBlank="1" showInputMessage="1" showErrorMessage="1" sqref="I20">
      <formula1>$I$92:$J$92</formula1>
    </dataValidation>
    <dataValidation type="list" allowBlank="1" showInputMessage="1" showErrorMessage="1" sqref="A33">
      <formula1>$A$119:$A$134</formula1>
    </dataValidation>
    <dataValidation type="list" allowBlank="1" showInputMessage="1" showErrorMessage="1" sqref="C33">
      <formula1>$C$119:$C$120</formula1>
    </dataValidation>
    <dataValidation type="list" allowBlank="1" showInputMessage="1" showErrorMessage="1" sqref="D33">
      <formula1>$E$119:$E$131</formula1>
    </dataValidation>
    <dataValidation type="list" allowBlank="1" showInputMessage="1" showErrorMessage="1" sqref="K19">
      <formula1>$J$70:$J$74</formula1>
    </dataValidation>
    <dataValidation type="list" allowBlank="1" showInputMessage="1" showErrorMessage="1" sqref="A20">
      <formula1>$E$74:$E$75</formula1>
    </dataValidation>
    <dataValidation type="list" allowBlank="1" showInputMessage="1" showErrorMessage="1" sqref="H23">
      <formula1>$A$138:$A$209</formula1>
    </dataValidation>
    <dataValidation type="list" allowBlank="1" showInputMessage="1" showErrorMessage="1" sqref="I25">
      <formula1>$V$3:$V$130</formula1>
    </dataValidation>
    <dataValidation type="list" allowBlank="1" showInputMessage="1" showErrorMessage="1" sqref="J15">
      <formula1>$F$107:$F$116</formula1>
    </dataValidation>
  </dataValidations>
  <hyperlinks>
    <hyperlink ref="A31" location="Новинки!A1" display="обратно в меню"/>
    <hyperlink ref="A27" location="Новинки!A1" display="обратно в меню"/>
    <hyperlink ref="A1" location="Новинки!A1" display="обратно в меню"/>
    <hyperlink ref="K5" location="'Услуги дизайна'!A1" display="настроить"/>
    <hyperlink ref="L1" r:id="rId1"/>
    <hyperlink ref="K31" r:id="rId2"/>
    <hyperlink ref="K27" r:id="rId3"/>
    <hyperlink ref="B25" location="'Изделия из пластика'!A1" display="настроить"/>
    <hyperlink ref="G25" location="Переплёт!A1" display="настроить"/>
    <hyperlink ref="F25" location="Переплёт!A1" display="настроить"/>
    <hyperlink ref="E25" location="Переплёт!A1" display="настроить"/>
    <hyperlink ref="D25" location="Переплёт!A1" display="настроить"/>
  </hyperlinks>
  <pageMargins left="0" right="0" top="0" bottom="0" header="0" footer="0"/>
  <pageSetup paperSize="9" orientation="landscape" r:id="rId4"/>
  <legacyDrawing r:id="rId5"/>
</worksheet>
</file>

<file path=xl/worksheets/sheet5.xml><?xml version="1.0" encoding="utf-8"?>
<worksheet xmlns="http://schemas.openxmlformats.org/spreadsheetml/2006/main" xmlns:r="http://schemas.openxmlformats.org/officeDocument/2006/relationships">
  <dimension ref="A4:BL110"/>
  <sheetViews>
    <sheetView topLeftCell="W61" zoomScale="80" zoomScaleNormal="80" workbookViewId="0">
      <selection activeCell="AT89" sqref="AT89"/>
    </sheetView>
  </sheetViews>
  <sheetFormatPr defaultRowHeight="15"/>
  <cols>
    <col min="44" max="61" width="9.28515625" bestFit="1" customWidth="1"/>
  </cols>
  <sheetData>
    <row r="4" spans="1:64">
      <c r="B4">
        <v>130</v>
      </c>
      <c r="C4" s="174">
        <f>SUM(D6:U26)</f>
        <v>2200</v>
      </c>
      <c r="D4">
        <f>IF(D5=Печать!$B$29,1,0)</f>
        <v>0</v>
      </c>
      <c r="E4">
        <f>IF(E5=Печать!$B$29,1,0)</f>
        <v>0</v>
      </c>
      <c r="F4">
        <f>IF(F5=Печать!$B$29,1,0)</f>
        <v>1</v>
      </c>
      <c r="G4">
        <f>IF(G5=Печать!$B$29,1,0)</f>
        <v>0</v>
      </c>
      <c r="H4">
        <f>IF(H5=Печать!$B$29,1,0)</f>
        <v>0</v>
      </c>
      <c r="I4">
        <f>IF(I5=Печать!$B$29,1,0)</f>
        <v>0</v>
      </c>
      <c r="J4">
        <f>IF(J5=Печать!$B$29,1,0)</f>
        <v>0</v>
      </c>
      <c r="K4">
        <f>IF(K5=Печать!$B$29,1,0)</f>
        <v>0</v>
      </c>
      <c r="L4">
        <f>IF(L5=Печать!$B$29,1,0)</f>
        <v>0</v>
      </c>
      <c r="M4">
        <f>IF(M5=Печать!$B$29,1,0)</f>
        <v>0</v>
      </c>
      <c r="N4">
        <f>IF(N5=Печать!$B$29,1,0)</f>
        <v>0</v>
      </c>
      <c r="O4">
        <f>IF(O5=Печать!$B$29,1,0)</f>
        <v>0</v>
      </c>
      <c r="P4">
        <f>IF(P5=Печать!$B$29,1,0)</f>
        <v>0</v>
      </c>
      <c r="Q4">
        <f>IF(Q5=Печать!$B$29,1,0)</f>
        <v>0</v>
      </c>
      <c r="R4">
        <f>IF(R5=Печать!$B$29,1,0)</f>
        <v>0</v>
      </c>
      <c r="S4">
        <f>IF(S5=Печать!$B$29,1,0)</f>
        <v>0</v>
      </c>
      <c r="T4">
        <f>IF(T5=Печать!$B$29,1,0)</f>
        <v>0</v>
      </c>
      <c r="U4">
        <f>IF(U5=Печать!$B$29,1,0)</f>
        <v>0</v>
      </c>
    </row>
    <row r="5" spans="1:64">
      <c r="B5" s="170" t="s">
        <v>642</v>
      </c>
      <c r="C5" s="170"/>
      <c r="D5" s="149">
        <v>100</v>
      </c>
      <c r="E5" s="149">
        <v>200</v>
      </c>
      <c r="F5" s="149">
        <v>500</v>
      </c>
      <c r="G5" s="149">
        <v>1000</v>
      </c>
      <c r="H5" s="149">
        <v>2000</v>
      </c>
      <c r="I5" s="149">
        <v>3000</v>
      </c>
      <c r="J5" s="149">
        <v>4000</v>
      </c>
      <c r="K5" s="149">
        <v>5000</v>
      </c>
      <c r="L5" s="149">
        <v>6000</v>
      </c>
      <c r="M5" s="149">
        <v>8000</v>
      </c>
      <c r="N5" s="149">
        <v>10000</v>
      </c>
      <c r="O5" s="149">
        <v>20000</v>
      </c>
      <c r="P5" s="149">
        <v>30000</v>
      </c>
      <c r="Q5" s="149">
        <v>40000</v>
      </c>
      <c r="R5" s="149">
        <v>50000</v>
      </c>
      <c r="S5" s="149">
        <v>60000</v>
      </c>
      <c r="T5" s="149">
        <v>80000</v>
      </c>
      <c r="U5" s="149">
        <v>100000</v>
      </c>
      <c r="W5" s="170" t="s">
        <v>642</v>
      </c>
      <c r="X5" s="170"/>
      <c r="Y5" s="149">
        <v>100</v>
      </c>
      <c r="Z5" s="149">
        <v>200</v>
      </c>
      <c r="AA5" s="149">
        <v>500</v>
      </c>
      <c r="AB5" s="149">
        <v>1000</v>
      </c>
      <c r="AC5" s="149">
        <v>2000</v>
      </c>
      <c r="AD5" s="149">
        <v>3000</v>
      </c>
      <c r="AE5" s="149">
        <v>4000</v>
      </c>
      <c r="AF5" s="149">
        <v>5000</v>
      </c>
      <c r="AG5" s="149">
        <v>6000</v>
      </c>
      <c r="AH5" s="149">
        <v>8000</v>
      </c>
      <c r="AI5" s="149">
        <v>10000</v>
      </c>
      <c r="AJ5" s="149">
        <v>20000</v>
      </c>
      <c r="AK5" s="149">
        <v>30000</v>
      </c>
      <c r="AL5" s="149">
        <v>40000</v>
      </c>
      <c r="AM5" s="149">
        <v>50000</v>
      </c>
      <c r="AN5" s="149">
        <v>60000</v>
      </c>
      <c r="AO5" s="149">
        <v>80000</v>
      </c>
      <c r="AP5" s="149">
        <v>100000</v>
      </c>
    </row>
    <row r="6" spans="1:64" ht="15.75" thickBot="1">
      <c r="A6">
        <f>IF(B6=Печать!$A$29,1,0)*IF(C6=Печать!$C$29,1,0)*IF(B4=Печать!D29,1,0)</f>
        <v>0</v>
      </c>
      <c r="B6" s="150" t="s">
        <v>643</v>
      </c>
      <c r="C6" s="154" t="s">
        <v>644</v>
      </c>
      <c r="D6" s="165">
        <f>CEILING(Y6*Настройки!$O$15*A6*$D$4,Настройки!$Q$15)</f>
        <v>0</v>
      </c>
      <c r="E6" s="165">
        <f>CEILING(Z6*Настройки!$O$15*$A$6*$E$4,Настройки!$Q$15)</f>
        <v>0</v>
      </c>
      <c r="F6" s="165">
        <f>CEILING(AA6*Настройки!$O$15*A6*$F$4,Настройки!$Q$15)</f>
        <v>0</v>
      </c>
      <c r="G6" s="165">
        <f>CEILING(AB6*Настройки!$O$15*A6*$G$4,Настройки!$Q$15)</f>
        <v>0</v>
      </c>
      <c r="H6" s="165">
        <f>CEILING(AC6*Настройки!$O$15*A6*$H$4,Настройки!$Q$15)</f>
        <v>0</v>
      </c>
      <c r="I6" s="165">
        <f>CEILING(AD6*Настройки!$O$15*A6*$I$4,Настройки!$Q$15)</f>
        <v>0</v>
      </c>
      <c r="J6" s="165">
        <f>CEILING(AE6*Настройки!$O$15*A6*$J$4,Настройки!$Q$15)</f>
        <v>0</v>
      </c>
      <c r="K6" s="165">
        <f>CEILING(AF6*Настройки!$O$15*A6*$K$4,Настройки!$Q$15)</f>
        <v>0</v>
      </c>
      <c r="L6" s="165">
        <f>CEILING(AG6*Настройки!$O$15*A6*$L$4,Настройки!$Q$15)</f>
        <v>0</v>
      </c>
      <c r="M6" s="165">
        <f>CEILING(AH6*Настройки!$O$15*A6*$M$4,Настройки!$Q$15)</f>
        <v>0</v>
      </c>
      <c r="N6" s="165">
        <f>CEILING(AI6*Настройки!$O$15*A6*$N$4,Настройки!$Q$15)</f>
        <v>0</v>
      </c>
      <c r="O6" s="165">
        <f>CEILING(AJ6*Настройки!$O$15*A6*$O$4,Настройки!$Q$15)</f>
        <v>0</v>
      </c>
      <c r="P6" s="165">
        <f>CEILING(AK6*Настройки!$O$15*A6*$P$4,Настройки!$Q$15)</f>
        <v>0</v>
      </c>
      <c r="Q6" s="165">
        <f>CEILING(AL6*Настройки!$O$15*A6*$Q$4,Настройки!$Q$15)</f>
        <v>0</v>
      </c>
      <c r="R6" s="165">
        <f>CEILING(AM6*Настройки!$O$15*A6*$R$4,Настройки!$Q$15)</f>
        <v>0</v>
      </c>
      <c r="S6" s="165">
        <f>CEILING(AN6*Настройки!$O$15*A6*$S$4,Настройки!$Q$15)</f>
        <v>0</v>
      </c>
      <c r="T6" s="165">
        <f>CEILING(AO6*Настройки!$O$15*A6*$T$4,Настройки!$Q$15)</f>
        <v>0</v>
      </c>
      <c r="U6" s="165">
        <f>CEILING(AP6*Настройки!$O$15*A6*$U$4,Настройки!$Q$15)</f>
        <v>0</v>
      </c>
      <c r="W6" s="150" t="s">
        <v>643</v>
      </c>
      <c r="X6" s="154" t="s">
        <v>644</v>
      </c>
      <c r="Y6" s="333">
        <v>5251.05</v>
      </c>
      <c r="Z6" s="333">
        <v>5639.55</v>
      </c>
      <c r="AA6" s="333">
        <v>5939.85</v>
      </c>
      <c r="AB6" s="333">
        <v>6498.4500000000007</v>
      </c>
      <c r="AC6" s="333">
        <v>8592.15</v>
      </c>
      <c r="AD6" s="333">
        <v>10875.9</v>
      </c>
      <c r="AE6" s="333">
        <v>13448.400000000001</v>
      </c>
      <c r="AF6" s="333">
        <v>15345.75</v>
      </c>
      <c r="AG6" s="333">
        <v>17842.650000000001</v>
      </c>
      <c r="AH6" s="333">
        <v>22838.55</v>
      </c>
      <c r="AI6" s="333">
        <v>27349.350000000002</v>
      </c>
      <c r="AJ6" s="333">
        <v>49322.700000000004</v>
      </c>
      <c r="AK6" s="333">
        <v>67023.600000000006</v>
      </c>
      <c r="AL6" s="333">
        <v>88061.400000000009</v>
      </c>
      <c r="AM6" s="333">
        <v>128491.65000000001</v>
      </c>
      <c r="AN6" s="333">
        <v>161018.55000000002</v>
      </c>
      <c r="AO6" s="333">
        <v>21550.2</v>
      </c>
      <c r="AP6" s="333">
        <v>259962.15000000002</v>
      </c>
      <c r="AR6" s="327"/>
      <c r="AS6" s="327"/>
      <c r="AT6" s="327"/>
      <c r="AU6" s="327"/>
      <c r="AV6" s="327"/>
      <c r="AW6" s="327"/>
      <c r="AX6" s="327"/>
      <c r="AY6" s="327"/>
      <c r="AZ6" s="327"/>
      <c r="BA6" s="327"/>
      <c r="BB6" s="327"/>
      <c r="BC6" s="327"/>
      <c r="BD6" s="327"/>
      <c r="BE6" s="327"/>
      <c r="BF6" s="327"/>
      <c r="BG6" s="327"/>
      <c r="BH6" s="327"/>
      <c r="BI6" s="327"/>
      <c r="BJ6" s="327"/>
      <c r="BK6" s="327"/>
      <c r="BL6" s="327"/>
    </row>
    <row r="7" spans="1:64" ht="15.75" thickBot="1">
      <c r="A7">
        <f>IF(B7=Печать!$A$29,1,0)*IF(C7=Печать!$C$29,1,0)*IF(B4=Печать!D29,1,0)</f>
        <v>0</v>
      </c>
      <c r="B7" s="153" t="s">
        <v>645</v>
      </c>
      <c r="C7" s="154" t="s">
        <v>644</v>
      </c>
      <c r="D7" s="165">
        <f>CEILING(Y7*Настройки!$O$15*A7*$D$4,Настройки!$Q$15)</f>
        <v>0</v>
      </c>
      <c r="E7" s="165">
        <f>CEILING(Z7*Настройки!$O$15*$A$6*$E$4,Настройки!$Q$15)</f>
        <v>0</v>
      </c>
      <c r="F7" s="165">
        <f>CEILING(AA7*Настройки!$O$15*A7*$F$4,Настройки!$Q$15)</f>
        <v>0</v>
      </c>
      <c r="G7" s="165">
        <f>CEILING(AB7*Настройки!$O$15*A7*$G$4,Настройки!$Q$15)</f>
        <v>0</v>
      </c>
      <c r="H7" s="165">
        <f>CEILING(AC7*Настройки!$O$15*A7*$H$4,Настройки!$Q$15)</f>
        <v>0</v>
      </c>
      <c r="I7" s="165">
        <f>CEILING(AD7*Настройки!$O$15*A7*$I$4,Настройки!$Q$15)</f>
        <v>0</v>
      </c>
      <c r="J7" s="165">
        <f>CEILING(AE7*Настройки!$O$15*A7*$J$4,Настройки!$Q$15)</f>
        <v>0</v>
      </c>
      <c r="K7" s="165">
        <f>CEILING(AF7*Настройки!$O$15*A7*$K$4,Настройки!$Q$15)</f>
        <v>0</v>
      </c>
      <c r="L7" s="165">
        <f>CEILING(AG7*Настройки!$O$15*A7*$L$4,Настройки!$Q$15)</f>
        <v>0</v>
      </c>
      <c r="M7" s="165">
        <f>CEILING(AH7*Настройки!$O$15*A7*$M$4,Настройки!$Q$15)</f>
        <v>0</v>
      </c>
      <c r="N7" s="165">
        <f>CEILING(AI7*Настройки!$O$15*A7*$N$4,Настройки!$Q$15)</f>
        <v>0</v>
      </c>
      <c r="O7" s="165">
        <f>CEILING(AJ7*Настройки!$O$15*A7*$O$4,Настройки!$Q$15)</f>
        <v>0</v>
      </c>
      <c r="P7" s="165">
        <f>CEILING(AK7*Настройки!$O$15*A7*$P$4,Настройки!$Q$15)</f>
        <v>0</v>
      </c>
      <c r="Q7" s="165">
        <f>CEILING(AL7*Настройки!$O$15*A7*$Q$4,Настройки!$Q$15)</f>
        <v>0</v>
      </c>
      <c r="R7" s="165">
        <f>CEILING(AM7*Настройки!$O$15*A7*$R$4,Настройки!$Q$15)</f>
        <v>0</v>
      </c>
      <c r="S7" s="165">
        <f>CEILING(AN7*Настройки!$O$15*A7*$S$4,Настройки!$Q$15)</f>
        <v>0</v>
      </c>
      <c r="T7" s="165">
        <f>CEILING(AO7*Настройки!$O$15*A7*$T$4,Настройки!$Q$15)</f>
        <v>0</v>
      </c>
      <c r="U7" s="165">
        <f>CEILING(AP7*Настройки!$O$15*A7*$U$4,Настройки!$Q$15)</f>
        <v>0</v>
      </c>
      <c r="W7" s="153" t="s">
        <v>645</v>
      </c>
      <c r="X7" s="154" t="s">
        <v>644</v>
      </c>
      <c r="Y7" s="333">
        <v>10501.050000000001</v>
      </c>
      <c r="Z7" s="333">
        <v>11246.550000000001</v>
      </c>
      <c r="AA7" s="333">
        <v>11710.65</v>
      </c>
      <c r="AB7" s="333">
        <v>13672.050000000001</v>
      </c>
      <c r="AC7" s="333">
        <v>17661</v>
      </c>
      <c r="AD7" s="333">
        <v>21711.9</v>
      </c>
      <c r="AE7" s="333">
        <v>23675.4</v>
      </c>
      <c r="AF7" s="333">
        <v>28105.350000000002</v>
      </c>
      <c r="AG7" s="333">
        <v>30850.050000000003</v>
      </c>
      <c r="AH7" s="333">
        <v>36337.35</v>
      </c>
      <c r="AI7" s="333">
        <v>42109.200000000004</v>
      </c>
      <c r="AJ7" s="333">
        <v>80654.7</v>
      </c>
      <c r="AK7" s="333">
        <v>132032.25</v>
      </c>
      <c r="AL7" s="333">
        <v>182687.4</v>
      </c>
      <c r="AM7" s="333">
        <v>269250.45</v>
      </c>
      <c r="AN7" s="333">
        <v>332232.60000000003</v>
      </c>
      <c r="AO7" s="333">
        <v>442977.15</v>
      </c>
      <c r="AP7" s="333">
        <v>553724.85</v>
      </c>
      <c r="AR7" s="327"/>
      <c r="AS7" s="327"/>
      <c r="AT7" s="327"/>
      <c r="AU7" s="327"/>
      <c r="AV7" s="327"/>
      <c r="AW7" s="327"/>
      <c r="AX7" s="327"/>
      <c r="AY7" s="327"/>
      <c r="AZ7" s="327"/>
      <c r="BA7" s="327"/>
      <c r="BB7" s="327"/>
      <c r="BC7" s="327"/>
      <c r="BD7" s="327"/>
      <c r="BE7" s="327"/>
      <c r="BF7" s="327"/>
      <c r="BG7" s="327"/>
      <c r="BH7" s="327"/>
      <c r="BI7" s="327"/>
      <c r="BJ7" s="327"/>
      <c r="BK7" s="327"/>
      <c r="BL7" s="327"/>
    </row>
    <row r="8" spans="1:64" ht="15.75" thickBot="1">
      <c r="A8">
        <f>IF(B8=Печать!$A$29,1,0)*IF(C8=Печать!$C$29,1,0)*IF(B4=Печать!D29,1,0)</f>
        <v>0</v>
      </c>
      <c r="B8" s="155" t="s">
        <v>645</v>
      </c>
      <c r="C8" s="156" t="s">
        <v>646</v>
      </c>
      <c r="D8" s="165">
        <f>CEILING(Y8*Настройки!$O$15*A8*$D$4,Настройки!$Q$15)</f>
        <v>0</v>
      </c>
      <c r="E8" s="165">
        <f>CEILING(Z8*Настройки!$O$15*$A$6*$E$4,Настройки!$Q$15)</f>
        <v>0</v>
      </c>
      <c r="F8" s="165">
        <f>CEILING(AA8*Настройки!$O$15*A8*$F$4,Настройки!$Q$15)</f>
        <v>0</v>
      </c>
      <c r="G8" s="165">
        <f>CEILING(AB8*Настройки!$O$15*A8*$G$4,Настройки!$Q$15)</f>
        <v>0</v>
      </c>
      <c r="H8" s="165">
        <f>CEILING(AC8*Настройки!$O$15*A8*$H$4,Настройки!$Q$15)</f>
        <v>0</v>
      </c>
      <c r="I8" s="165">
        <f>CEILING(AD8*Настройки!$O$15*A8*$I$4,Настройки!$Q$15)</f>
        <v>0</v>
      </c>
      <c r="J8" s="165">
        <f>CEILING(AE8*Настройки!$O$15*A8*$J$4,Настройки!$Q$15)</f>
        <v>0</v>
      </c>
      <c r="K8" s="165">
        <f>CEILING(AF8*Настройки!$O$15*A8*$K$4,Настройки!$Q$15)</f>
        <v>0</v>
      </c>
      <c r="L8" s="165">
        <f>CEILING(AG8*Настройки!$O$15*A8*$L$4,Настройки!$Q$15)</f>
        <v>0</v>
      </c>
      <c r="M8" s="165">
        <f>CEILING(AH8*Настройки!$O$15*A8*$M$4,Настройки!$Q$15)</f>
        <v>0</v>
      </c>
      <c r="N8" s="165">
        <f>CEILING(AI8*Настройки!$O$15*A8*$N$4,Настройки!$Q$15)</f>
        <v>0</v>
      </c>
      <c r="O8" s="165">
        <f>CEILING(AJ8*Настройки!$O$15*A8*$O$4,Настройки!$Q$15)</f>
        <v>0</v>
      </c>
      <c r="P8" s="165">
        <f>CEILING(AK8*Настройки!$O$15*A8*$P$4,Настройки!$Q$15)</f>
        <v>0</v>
      </c>
      <c r="Q8" s="165">
        <f>CEILING(AL8*Настройки!$O$15*A8*$Q$4,Настройки!$Q$15)</f>
        <v>0</v>
      </c>
      <c r="R8" s="165">
        <f>CEILING(AM8*Настройки!$O$15*A8*$R$4,Настройки!$Q$15)</f>
        <v>0</v>
      </c>
      <c r="S8" s="165">
        <f>CEILING(AN8*Настройки!$O$15*A8*$S$4,Настройки!$Q$15)</f>
        <v>0</v>
      </c>
      <c r="T8" s="165">
        <f>CEILING(AO8*Настройки!$O$15*A8*$T$4,Настройки!$Q$15)</f>
        <v>0</v>
      </c>
      <c r="U8" s="165">
        <f>CEILING(AP8*Настройки!$O$15*A8*$U$4,Настройки!$Q$15)</f>
        <v>0</v>
      </c>
      <c r="W8" s="155" t="s">
        <v>645</v>
      </c>
      <c r="X8" s="156" t="s">
        <v>646</v>
      </c>
      <c r="Y8" s="333">
        <v>9149.7000000000007</v>
      </c>
      <c r="Z8" s="333">
        <v>9977.1</v>
      </c>
      <c r="AA8" s="333">
        <v>11077.5</v>
      </c>
      <c r="AB8" s="333">
        <v>13228.95</v>
      </c>
      <c r="AC8" s="333">
        <v>15192.45</v>
      </c>
      <c r="AD8" s="333">
        <v>19179.3</v>
      </c>
      <c r="AE8" s="333">
        <v>20130.600000000002</v>
      </c>
      <c r="AF8" s="333">
        <v>23796.15</v>
      </c>
      <c r="AG8" s="333">
        <v>26382.300000000003</v>
      </c>
      <c r="AH8" s="333">
        <v>31552.5</v>
      </c>
      <c r="AI8" s="333">
        <v>36970.5</v>
      </c>
      <c r="AJ8" s="333">
        <v>69863.850000000006</v>
      </c>
      <c r="AK8" s="333">
        <v>106339.8</v>
      </c>
      <c r="AL8" s="333">
        <v>146905.5</v>
      </c>
      <c r="AM8" s="333">
        <v>222294.45</v>
      </c>
      <c r="AN8" s="333">
        <v>254712.15000000002</v>
      </c>
      <c r="AO8" s="333">
        <v>333010.65000000002</v>
      </c>
      <c r="AP8" s="333">
        <v>412412.7</v>
      </c>
      <c r="AR8" s="327"/>
      <c r="AS8" s="327"/>
      <c r="AT8" s="327"/>
      <c r="AU8" s="327"/>
      <c r="AV8" s="327"/>
      <c r="AW8" s="327"/>
      <c r="AX8" s="327"/>
      <c r="AY8" s="327"/>
      <c r="AZ8" s="327"/>
      <c r="BA8" s="327"/>
      <c r="BB8" s="327"/>
      <c r="BC8" s="327"/>
      <c r="BD8" s="327"/>
      <c r="BE8" s="327"/>
      <c r="BF8" s="327"/>
      <c r="BG8" s="327"/>
      <c r="BH8" s="327"/>
      <c r="BI8" s="327"/>
      <c r="BJ8" s="327"/>
      <c r="BK8" s="327"/>
      <c r="BL8" s="327"/>
    </row>
    <row r="9" spans="1:64" ht="15.75" thickBot="1">
      <c r="A9">
        <f>IF(B9=Печать!$A$29,1,0)*IF(C9=Печать!$C$29,1,0)*IF(B4=Печать!D29,1,0)</f>
        <v>0</v>
      </c>
      <c r="B9" s="153" t="s">
        <v>647</v>
      </c>
      <c r="C9" s="154" t="s">
        <v>644</v>
      </c>
      <c r="D9" s="165">
        <f>CEILING(Y9*Настройки!$O$15*A9*$D$4,Настройки!$Q$15)</f>
        <v>0</v>
      </c>
      <c r="E9" s="165">
        <f>CEILING(Z9*Настройки!$O$15*$A$6*$E$4,Настройки!$Q$15)</f>
        <v>0</v>
      </c>
      <c r="F9" s="165">
        <f>CEILING(AA9*Настройки!$O$15*A9*$F$4,Настройки!$Q$15)</f>
        <v>0</v>
      </c>
      <c r="G9" s="165">
        <f>CEILING(AB9*Настройки!$O$15*A9*$G$4,Настройки!$Q$15)</f>
        <v>0</v>
      </c>
      <c r="H9" s="165">
        <f>CEILING(AC9*Настройки!$O$15*A9*$H$4,Настройки!$Q$15)</f>
        <v>0</v>
      </c>
      <c r="I9" s="165">
        <f>CEILING(AD9*Настройки!$O$15*A9*$I$4,Настройки!$Q$15)</f>
        <v>0</v>
      </c>
      <c r="J9" s="165">
        <f>CEILING(AE9*Настройки!$O$15*A9*$J$4,Настройки!$Q$15)</f>
        <v>0</v>
      </c>
      <c r="K9" s="165">
        <f>CEILING(AF9*Настройки!$O$15*A9*$K$4,Настройки!$Q$15)</f>
        <v>0</v>
      </c>
      <c r="L9" s="165">
        <f>CEILING(AG9*Настройки!$O$15*A9*$L$4,Настройки!$Q$15)</f>
        <v>0</v>
      </c>
      <c r="M9" s="165">
        <f>CEILING(AH9*Настройки!$O$15*A9*$M$4,Настройки!$Q$15)</f>
        <v>0</v>
      </c>
      <c r="N9" s="165">
        <f>CEILING(AI9*Настройки!$O$15*A9*$N$4,Настройки!$Q$15)</f>
        <v>0</v>
      </c>
      <c r="O9" s="165">
        <f>CEILING(AJ9*Настройки!$O$15*A9*$O$4,Настройки!$Q$15)</f>
        <v>0</v>
      </c>
      <c r="P9" s="165">
        <f>CEILING(AK9*Настройки!$O$15*A9*$P$4,Настройки!$Q$15)</f>
        <v>0</v>
      </c>
      <c r="Q9" s="165">
        <f>CEILING(AL9*Настройки!$O$15*A9*$Q$4,Настройки!$Q$15)</f>
        <v>0</v>
      </c>
      <c r="R9" s="165">
        <f>CEILING(AM9*Настройки!$O$15*A9*$R$4,Настройки!$Q$15)</f>
        <v>0</v>
      </c>
      <c r="S9" s="165">
        <f>CEILING(AN9*Настройки!$O$15*A9*$S$4,Настройки!$Q$15)</f>
        <v>0</v>
      </c>
      <c r="T9" s="165">
        <f>CEILING(AO9*Настройки!$O$15*A9*$T$4,Настройки!$Q$15)</f>
        <v>0</v>
      </c>
      <c r="U9" s="165">
        <f>CEILING(AP9*Настройки!$O$15*A9*$U$4,Настройки!$Q$15)</f>
        <v>0</v>
      </c>
      <c r="W9" s="153" t="s">
        <v>647</v>
      </c>
      <c r="X9" s="154" t="s">
        <v>644</v>
      </c>
      <c r="Y9" s="333">
        <v>4817.4000000000005</v>
      </c>
      <c r="Z9" s="333">
        <v>5157.6000000000004</v>
      </c>
      <c r="AA9" s="333">
        <v>5457.9000000000005</v>
      </c>
      <c r="AB9" s="333">
        <v>5776.05</v>
      </c>
      <c r="AC9" s="333">
        <v>7629.3</v>
      </c>
      <c r="AD9" s="333">
        <v>9431.1</v>
      </c>
      <c r="AE9" s="333">
        <v>11763.15</v>
      </c>
      <c r="AF9" s="333">
        <v>13419</v>
      </c>
      <c r="AG9" s="333">
        <v>15530.550000000001</v>
      </c>
      <c r="AH9" s="333">
        <v>19756.8</v>
      </c>
      <c r="AI9" s="333">
        <v>24267.600000000002</v>
      </c>
      <c r="AJ9" s="333">
        <v>42852.6</v>
      </c>
      <c r="AK9" s="333">
        <v>59703</v>
      </c>
      <c r="AL9" s="333">
        <v>79828.350000000006</v>
      </c>
      <c r="AM9" s="333">
        <v>118359.15000000001</v>
      </c>
      <c r="AN9" s="333">
        <v>149093.70000000001</v>
      </c>
      <c r="AO9" s="333">
        <v>195403.95</v>
      </c>
      <c r="AP9" s="333">
        <v>241714.2</v>
      </c>
      <c r="AR9" s="327"/>
      <c r="AS9" s="327"/>
      <c r="AT9" s="327"/>
      <c r="AU9" s="327"/>
      <c r="AV9" s="327"/>
      <c r="AW9" s="327"/>
      <c r="AX9" s="327"/>
      <c r="AY9" s="327"/>
      <c r="AZ9" s="327"/>
      <c r="BA9" s="327"/>
      <c r="BB9" s="327"/>
      <c r="BC9" s="327"/>
      <c r="BD9" s="327"/>
      <c r="BE9" s="327"/>
      <c r="BF9" s="327"/>
      <c r="BG9" s="327"/>
      <c r="BH9" s="327"/>
      <c r="BI9" s="327"/>
      <c r="BJ9" s="327"/>
      <c r="BK9" s="327"/>
      <c r="BL9" s="327"/>
    </row>
    <row r="10" spans="1:64" ht="15.75" thickBot="1">
      <c r="A10">
        <f>IF(B10=Печать!$A$29,1,0)*IF(C10=Печать!$C$29,1,0)*IF(B4=Печать!D29,1,0)</f>
        <v>0</v>
      </c>
      <c r="B10" s="155" t="s">
        <v>647</v>
      </c>
      <c r="C10" s="156" t="s">
        <v>646</v>
      </c>
      <c r="D10" s="165">
        <f>CEILING(Y10*Настройки!$O$15*A10*$D$4,Настройки!$Q$15)</f>
        <v>0</v>
      </c>
      <c r="E10" s="165">
        <f>CEILING(Z10*Настройки!$O$15*$A$6*$E$4,Настройки!$Q$15)</f>
        <v>0</v>
      </c>
      <c r="F10" s="165">
        <f>CEILING(AA10*Настройки!$O$15*A10*$F$4,Настройки!$Q$15)</f>
        <v>0</v>
      </c>
      <c r="G10" s="165">
        <f>CEILING(AB10*Настройки!$O$15*A10*$G$4,Настройки!$Q$15)</f>
        <v>0</v>
      </c>
      <c r="H10" s="165">
        <f>CEILING(AC10*Настройки!$O$15*A10*$H$4,Настройки!$Q$15)</f>
        <v>0</v>
      </c>
      <c r="I10" s="165">
        <f>CEILING(AD10*Настройки!$O$15*A10*$I$4,Настройки!$Q$15)</f>
        <v>0</v>
      </c>
      <c r="J10" s="165">
        <f>CEILING(AE10*Настройки!$O$15*A10*$J$4,Настройки!$Q$15)</f>
        <v>0</v>
      </c>
      <c r="K10" s="165">
        <f>CEILING(AF10*Настройки!$O$15*A10*$K$4,Настройки!$Q$15)</f>
        <v>0</v>
      </c>
      <c r="L10" s="165">
        <f>CEILING(AG10*Настройки!$O$15*A10*$L$4,Настройки!$Q$15)</f>
        <v>0</v>
      </c>
      <c r="M10" s="165">
        <f>CEILING(AH10*Настройки!$O$15*A10*$M$4,Настройки!$Q$15)</f>
        <v>0</v>
      </c>
      <c r="N10" s="165">
        <f>CEILING(AI10*Настройки!$O$15*A10*$N$4,Настройки!$Q$15)</f>
        <v>0</v>
      </c>
      <c r="O10" s="165">
        <f>CEILING(AJ10*Настройки!$O$15*A10*$O$4,Настройки!$Q$15)</f>
        <v>0</v>
      </c>
      <c r="P10" s="165">
        <f>CEILING(AK10*Настройки!$O$15*A10*$P$4,Настройки!$Q$15)</f>
        <v>0</v>
      </c>
      <c r="Q10" s="165">
        <f>CEILING(AL10*Настройки!$O$15*A10*$Q$4,Настройки!$Q$15)</f>
        <v>0</v>
      </c>
      <c r="R10" s="165">
        <f>CEILING(AM10*Настройки!$O$15*A10*$R$4,Настройки!$Q$15)</f>
        <v>0</v>
      </c>
      <c r="S10" s="165">
        <f>CEILING(AN10*Настройки!$O$15*A10*$S$4,Настройки!$Q$15)</f>
        <v>0</v>
      </c>
      <c r="T10" s="165">
        <f>CEILING(AO10*Настройки!$O$15*A10*$T$4,Настройки!$Q$15)</f>
        <v>0</v>
      </c>
      <c r="U10" s="165">
        <f>CEILING(AP10*Настройки!$O$15*A10*$U$4,Настройки!$Q$15)</f>
        <v>0</v>
      </c>
      <c r="W10" s="155" t="s">
        <v>647</v>
      </c>
      <c r="X10" s="156" t="s">
        <v>646</v>
      </c>
      <c r="Y10" s="333">
        <v>4068.75</v>
      </c>
      <c r="Z10" s="333">
        <v>4437.3</v>
      </c>
      <c r="AA10" s="333">
        <v>4927.6500000000005</v>
      </c>
      <c r="AB10" s="333">
        <v>5616.45</v>
      </c>
      <c r="AC10" s="333">
        <v>6940.5</v>
      </c>
      <c r="AD10" s="333">
        <v>8478.75</v>
      </c>
      <c r="AE10" s="333">
        <v>10915.800000000001</v>
      </c>
      <c r="AF10" s="333">
        <v>12447.75</v>
      </c>
      <c r="AG10" s="333">
        <v>13875.75</v>
      </c>
      <c r="AH10" s="333">
        <v>16729.650000000001</v>
      </c>
      <c r="AI10" s="333">
        <v>19818.75</v>
      </c>
      <c r="AJ10" s="333">
        <v>37102.800000000003</v>
      </c>
      <c r="AK10" s="333">
        <v>49871.85</v>
      </c>
      <c r="AL10" s="333">
        <v>66796.800000000003</v>
      </c>
      <c r="AM10" s="333">
        <v>96993.75</v>
      </c>
      <c r="AN10" s="333">
        <v>122821.65000000001</v>
      </c>
      <c r="AO10" s="333">
        <v>159353.25</v>
      </c>
      <c r="AP10" s="333">
        <v>198376.5</v>
      </c>
      <c r="AR10" s="327"/>
      <c r="AS10" s="327"/>
      <c r="AT10" s="327"/>
      <c r="AU10" s="327"/>
      <c r="AV10" s="327"/>
      <c r="AW10" s="327"/>
      <c r="AX10" s="327"/>
      <c r="AY10" s="327"/>
      <c r="AZ10" s="327"/>
      <c r="BA10" s="327"/>
      <c r="BB10" s="327"/>
      <c r="BC10" s="327"/>
      <c r="BD10" s="327"/>
      <c r="BE10" s="327"/>
      <c r="BF10" s="327"/>
      <c r="BG10" s="327"/>
      <c r="BH10" s="327"/>
      <c r="BI10" s="327"/>
      <c r="BJ10" s="327"/>
      <c r="BK10" s="327"/>
      <c r="BL10" s="327"/>
    </row>
    <row r="11" spans="1:64" ht="15.75" thickBot="1">
      <c r="A11">
        <f>IF(B11=Печать!$A$29,1,0)*IF(C11=Печать!$C$29,1,0)*IF(B4=Печать!D29,1,0)</f>
        <v>0</v>
      </c>
      <c r="B11" s="153" t="s">
        <v>648</v>
      </c>
      <c r="C11" s="154" t="s">
        <v>644</v>
      </c>
      <c r="D11" s="165">
        <f>CEILING(Y11*Настройки!$O$15*A11*$D$4,Настройки!$Q$15)</f>
        <v>0</v>
      </c>
      <c r="E11" s="165">
        <f>CEILING(Z11*Настройки!$O$15*$A$6*$E$4,Настройки!$Q$15)</f>
        <v>0</v>
      </c>
      <c r="F11" s="165">
        <f>CEILING(AA11*Настройки!$O$15*A11*$F$4,Настройки!$Q$15)</f>
        <v>0</v>
      </c>
      <c r="G11" s="165">
        <f>CEILING(AB11*Настройки!$O$15*A11*$G$4,Настройки!$Q$15)</f>
        <v>0</v>
      </c>
      <c r="H11" s="165">
        <f>CEILING(AC11*Настройки!$O$15*A11*$H$4,Настройки!$Q$15)</f>
        <v>0</v>
      </c>
      <c r="I11" s="165">
        <f>CEILING(AD11*Настройки!$O$15*A11*$I$4,Настройки!$Q$15)</f>
        <v>0</v>
      </c>
      <c r="J11" s="165">
        <f>CEILING(AE11*Настройки!$O$15*A11*$J$4,Настройки!$Q$15)</f>
        <v>0</v>
      </c>
      <c r="K11" s="165">
        <f>CEILING(AF11*Настройки!$O$15*A11*$K$4,Настройки!$Q$15)</f>
        <v>0</v>
      </c>
      <c r="L11" s="165">
        <f>CEILING(AG11*Настройки!$O$15*A11*$L$4,Настройки!$Q$15)</f>
        <v>0</v>
      </c>
      <c r="M11" s="165">
        <f>CEILING(AH11*Настройки!$O$15*A11*$M$4,Настройки!$Q$15)</f>
        <v>0</v>
      </c>
      <c r="N11" s="165">
        <f>CEILING(AI11*Настройки!$O$15*A11*$N$4,Настройки!$Q$15)</f>
        <v>0</v>
      </c>
      <c r="O11" s="165">
        <f>CEILING(AJ11*Настройки!$O$15*A11*$O$4,Настройки!$Q$15)</f>
        <v>0</v>
      </c>
      <c r="P11" s="165">
        <f>CEILING(AK11*Настройки!$O$15*A11*$P$4,Настройки!$Q$15)</f>
        <v>0</v>
      </c>
      <c r="Q11" s="165">
        <f>CEILING(AL11*Настройки!$O$15*A11*$Q$4,Настройки!$Q$15)</f>
        <v>0</v>
      </c>
      <c r="R11" s="165">
        <f>CEILING(AM11*Настройки!$O$15*A11*$R$4,Настройки!$Q$15)</f>
        <v>0</v>
      </c>
      <c r="S11" s="165">
        <f>CEILING(AN11*Настройки!$O$15*A11*$S$4,Настройки!$Q$15)</f>
        <v>0</v>
      </c>
      <c r="T11" s="165">
        <f>CEILING(AO11*Настройки!$O$15*A11*$T$4,Настройки!$Q$15)</f>
        <v>0</v>
      </c>
      <c r="U11" s="165">
        <f>CEILING(AP11*Настройки!$O$15*A11*$U$4,Настройки!$Q$15)</f>
        <v>0</v>
      </c>
      <c r="W11" s="153" t="s">
        <v>648</v>
      </c>
      <c r="X11" s="154" t="s">
        <v>644</v>
      </c>
      <c r="Y11" s="333">
        <v>2389.8000000000002</v>
      </c>
      <c r="Z11" s="333">
        <v>2558.85</v>
      </c>
      <c r="AA11" s="333">
        <v>2701.65</v>
      </c>
      <c r="AB11" s="333">
        <v>3389.4</v>
      </c>
      <c r="AC11" s="333">
        <v>4418.4000000000005</v>
      </c>
      <c r="AD11" s="333">
        <v>5405.4000000000005</v>
      </c>
      <c r="AE11" s="333">
        <v>6289.5</v>
      </c>
      <c r="AF11" s="333">
        <v>7453.9500000000007</v>
      </c>
      <c r="AG11" s="333">
        <v>8522.85</v>
      </c>
      <c r="AH11" s="333">
        <v>10560.9</v>
      </c>
      <c r="AI11" s="333">
        <v>12846.75</v>
      </c>
      <c r="AJ11" s="333">
        <v>26109.300000000003</v>
      </c>
      <c r="AK11" s="333">
        <v>37299.15</v>
      </c>
      <c r="AL11" s="333">
        <v>47649</v>
      </c>
      <c r="AM11" s="333">
        <v>57230.25</v>
      </c>
      <c r="AN11" s="333">
        <v>69192.900000000009</v>
      </c>
      <c r="AO11" s="333">
        <v>90706.35</v>
      </c>
      <c r="AP11" s="333">
        <v>112221.90000000001</v>
      </c>
      <c r="AR11" s="327"/>
      <c r="AS11" s="327"/>
      <c r="AT11" s="327"/>
      <c r="AU11" s="327"/>
      <c r="AV11" s="327"/>
      <c r="AW11" s="327"/>
      <c r="AX11" s="327"/>
      <c r="AY11" s="327"/>
      <c r="AZ11" s="327"/>
      <c r="BA11" s="327"/>
      <c r="BB11" s="327"/>
      <c r="BC11" s="327"/>
      <c r="BD11" s="327"/>
      <c r="BE11" s="327"/>
      <c r="BF11" s="327"/>
      <c r="BG11" s="327"/>
      <c r="BH11" s="327"/>
      <c r="BI11" s="327"/>
      <c r="BJ11" s="327"/>
      <c r="BK11" s="327"/>
      <c r="BL11" s="327"/>
    </row>
    <row r="12" spans="1:64" ht="15.75" thickBot="1">
      <c r="A12">
        <f>IF(B12=Печать!$A$29,1,0)*IF(C12=Печать!$C$29,1,0)*IF(B4=Печать!D29,1,0)</f>
        <v>0</v>
      </c>
      <c r="B12" s="155" t="s">
        <v>648</v>
      </c>
      <c r="C12" s="156" t="s">
        <v>646</v>
      </c>
      <c r="D12" s="165">
        <f>CEILING(Y12*Настройки!$O$15*A12*$D$4,Настройки!$Q$15)</f>
        <v>0</v>
      </c>
      <c r="E12" s="165">
        <f>CEILING(Z12*Настройки!$O$15*$A$6*$E$4,Настройки!$Q$15)</f>
        <v>0</v>
      </c>
      <c r="F12" s="165">
        <f>CEILING(AA12*Настройки!$O$15*A12*$F$4,Настройки!$Q$15)</f>
        <v>0</v>
      </c>
      <c r="G12" s="165">
        <f>CEILING(AB12*Настройки!$O$15*A12*$G$4,Настройки!$Q$15)</f>
        <v>0</v>
      </c>
      <c r="H12" s="165">
        <f>CEILING(AC12*Настройки!$O$15*A12*$H$4,Настройки!$Q$15)</f>
        <v>0</v>
      </c>
      <c r="I12" s="165">
        <f>CEILING(AD12*Настройки!$O$15*A12*$I$4,Настройки!$Q$15)</f>
        <v>0</v>
      </c>
      <c r="J12" s="165">
        <f>CEILING(AE12*Настройки!$O$15*A12*$J$4,Настройки!$Q$15)</f>
        <v>0</v>
      </c>
      <c r="K12" s="165">
        <f>CEILING(AF12*Настройки!$O$15*A12*$K$4,Настройки!$Q$15)</f>
        <v>0</v>
      </c>
      <c r="L12" s="165">
        <f>CEILING(AG12*Настройки!$O$15*A12*$L$4,Настройки!$Q$15)</f>
        <v>0</v>
      </c>
      <c r="M12" s="165">
        <f>CEILING(AH12*Настройки!$O$15*A12*$M$4,Настройки!$Q$15)</f>
        <v>0</v>
      </c>
      <c r="N12" s="165">
        <f>CEILING(AI12*Настройки!$O$15*A12*$N$4,Настройки!$Q$15)</f>
        <v>0</v>
      </c>
      <c r="O12" s="165">
        <f>CEILING(AJ12*Настройки!$O$15*A12*$O$4,Настройки!$Q$15)</f>
        <v>0</v>
      </c>
      <c r="P12" s="165">
        <f>CEILING(AK12*Настройки!$O$15*A12*$P$4,Настройки!$Q$15)</f>
        <v>0</v>
      </c>
      <c r="Q12" s="165">
        <f>CEILING(AL12*Настройки!$O$15*A12*$Q$4,Настройки!$Q$15)</f>
        <v>0</v>
      </c>
      <c r="R12" s="165">
        <f>CEILING(AM12*Настройки!$O$15*A12*$R$4,Настройки!$Q$15)</f>
        <v>0</v>
      </c>
      <c r="S12" s="165">
        <f>CEILING(AN12*Настройки!$O$15*A12*$S$4,Настройки!$Q$15)</f>
        <v>0</v>
      </c>
      <c r="T12" s="165">
        <f>CEILING(AO12*Настройки!$O$15*A12*$T$4,Настройки!$Q$15)</f>
        <v>0</v>
      </c>
      <c r="U12" s="165">
        <f>CEILING(AP12*Настройки!$O$15*A12*$U$4,Настройки!$Q$15)</f>
        <v>0</v>
      </c>
      <c r="W12" s="155" t="s">
        <v>648</v>
      </c>
      <c r="X12" s="156" t="s">
        <v>646</v>
      </c>
      <c r="Y12" s="333">
        <v>2020.2</v>
      </c>
      <c r="Z12" s="333">
        <v>2202.9</v>
      </c>
      <c r="AA12" s="333">
        <v>2436</v>
      </c>
      <c r="AB12" s="333">
        <v>3125.85</v>
      </c>
      <c r="AC12" s="333">
        <v>2847.6</v>
      </c>
      <c r="AD12" s="333">
        <v>4678.8</v>
      </c>
      <c r="AE12" s="333">
        <v>5561.85</v>
      </c>
      <c r="AF12" s="333">
        <v>6427.05</v>
      </c>
      <c r="AG12" s="333">
        <v>7476</v>
      </c>
      <c r="AH12" s="333">
        <v>9480.4500000000007</v>
      </c>
      <c r="AI12" s="333">
        <v>11709.6</v>
      </c>
      <c r="AJ12" s="333">
        <v>23779.350000000002</v>
      </c>
      <c r="AK12" s="333">
        <v>35211.75</v>
      </c>
      <c r="AL12" s="333">
        <v>45203.55</v>
      </c>
      <c r="AM12" s="333">
        <v>53352.600000000006</v>
      </c>
      <c r="AN12" s="333">
        <v>57604.05</v>
      </c>
      <c r="AO12" s="333">
        <v>75264</v>
      </c>
      <c r="AP12" s="333">
        <v>100827.3</v>
      </c>
      <c r="AR12" s="327"/>
      <c r="AS12" s="327"/>
      <c r="AT12" s="327"/>
      <c r="AU12" s="327"/>
      <c r="AV12" s="327"/>
      <c r="AW12" s="327"/>
      <c r="AX12" s="327"/>
      <c r="AY12" s="327"/>
      <c r="AZ12" s="327"/>
      <c r="BA12" s="327"/>
      <c r="BB12" s="327"/>
      <c r="BC12" s="327"/>
      <c r="BD12" s="327"/>
      <c r="BE12" s="327"/>
      <c r="BF12" s="327"/>
      <c r="BG12" s="327"/>
      <c r="BH12" s="327"/>
      <c r="BI12" s="327"/>
      <c r="BJ12" s="327"/>
      <c r="BK12" s="327"/>
      <c r="BL12" s="327"/>
    </row>
    <row r="13" spans="1:64" ht="15.75" thickBot="1">
      <c r="A13">
        <f>IF(B13=Печать!$A$29,1,0)*IF(C13=Печать!$C$29,1,0)*IF(B4=Печать!D29,1,0)</f>
        <v>0</v>
      </c>
      <c r="B13" s="153" t="s">
        <v>649</v>
      </c>
      <c r="C13" s="154" t="s">
        <v>644</v>
      </c>
      <c r="D13" s="165">
        <f>CEILING(Y13*Настройки!$O$15*A13*$D$4,Настройки!$Q$15)</f>
        <v>0</v>
      </c>
      <c r="E13" s="165">
        <f>CEILING(Z13*Настройки!$O$15*$A$6*$E$4,Настройки!$Q$15)</f>
        <v>0</v>
      </c>
      <c r="F13" s="165">
        <f>CEILING(AA13*Настройки!$O$15*A13*$F$4,Настройки!$Q$15)</f>
        <v>0</v>
      </c>
      <c r="G13" s="165">
        <f>CEILING(AB13*Настройки!$O$15*A13*$G$4,Настройки!$Q$15)</f>
        <v>0</v>
      </c>
      <c r="H13" s="165">
        <f>CEILING(AC13*Настройки!$O$15*A13*$H$4,Настройки!$Q$15)</f>
        <v>0</v>
      </c>
      <c r="I13" s="165">
        <f>CEILING(AD13*Настройки!$O$15*A13*$I$4,Настройки!$Q$15)</f>
        <v>0</v>
      </c>
      <c r="J13" s="165">
        <f>CEILING(AE13*Настройки!$O$15*A13*$J$4,Настройки!$Q$15)</f>
        <v>0</v>
      </c>
      <c r="K13" s="165">
        <f>CEILING(AF13*Настройки!$O$15*A13*$K$4,Настройки!$Q$15)</f>
        <v>0</v>
      </c>
      <c r="L13" s="165">
        <f>CEILING(AG13*Настройки!$O$15*A13*$L$4,Настройки!$Q$15)</f>
        <v>0</v>
      </c>
      <c r="M13" s="165">
        <f>CEILING(AH13*Настройки!$O$15*A13*$M$4,Настройки!$Q$15)</f>
        <v>0</v>
      </c>
      <c r="N13" s="165">
        <f>CEILING(AI13*Настройки!$O$15*A13*$N$4,Настройки!$Q$15)</f>
        <v>0</v>
      </c>
      <c r="O13" s="165">
        <f>CEILING(AJ13*Настройки!$O$15*A13*$O$4,Настройки!$Q$15)</f>
        <v>0</v>
      </c>
      <c r="P13" s="165">
        <f>CEILING(AK13*Настройки!$O$15*A13*$P$4,Настройки!$Q$15)</f>
        <v>0</v>
      </c>
      <c r="Q13" s="165">
        <f>CEILING(AL13*Настройки!$O$15*A13*$Q$4,Настройки!$Q$15)</f>
        <v>0</v>
      </c>
      <c r="R13" s="165">
        <f>CEILING(AM13*Настройки!$O$15*A13*$R$4,Настройки!$Q$15)</f>
        <v>0</v>
      </c>
      <c r="S13" s="165">
        <f>CEILING(AN13*Настройки!$O$15*A13*$S$4,Настройки!$Q$15)</f>
        <v>0</v>
      </c>
      <c r="T13" s="165">
        <f>CEILING(AO13*Настройки!$O$15*A13*$T$4,Настройки!$Q$15)</f>
        <v>0</v>
      </c>
      <c r="U13" s="165">
        <f>CEILING(AP13*Настройки!$O$15*A13*$U$4,Настройки!$Q$15)</f>
        <v>0</v>
      </c>
      <c r="W13" s="153" t="s">
        <v>649</v>
      </c>
      <c r="X13" s="154" t="s">
        <v>644</v>
      </c>
      <c r="Y13" s="333">
        <v>1218</v>
      </c>
      <c r="Z13" s="333">
        <v>1304.1000000000001</v>
      </c>
      <c r="AA13" s="333">
        <v>1377.6000000000001</v>
      </c>
      <c r="AB13" s="333">
        <v>1960.3500000000001</v>
      </c>
      <c r="AC13" s="333">
        <v>2648.1</v>
      </c>
      <c r="AD13" s="333">
        <v>3337.9500000000003</v>
      </c>
      <c r="AE13" s="333">
        <v>3441.9</v>
      </c>
      <c r="AF13" s="333">
        <v>4105.5</v>
      </c>
      <c r="AG13" s="333">
        <v>4720.8</v>
      </c>
      <c r="AH13" s="333">
        <v>5952.45</v>
      </c>
      <c r="AI13" s="333">
        <v>7278.6</v>
      </c>
      <c r="AJ13" s="333">
        <v>14585.550000000001</v>
      </c>
      <c r="AK13" s="333">
        <v>21005.25</v>
      </c>
      <c r="AL13" s="333">
        <v>27528.9</v>
      </c>
      <c r="AM13" s="333">
        <v>34746.6</v>
      </c>
      <c r="AN13" s="333">
        <v>44079</v>
      </c>
      <c r="AO13" s="333">
        <v>57947.4</v>
      </c>
      <c r="AP13" s="333">
        <v>65819.25</v>
      </c>
      <c r="AR13" s="327"/>
      <c r="AS13" s="327"/>
      <c r="AT13" s="327"/>
      <c r="AU13" s="327"/>
      <c r="AV13" s="327"/>
      <c r="AW13" s="327"/>
      <c r="AX13" s="327"/>
      <c r="AY13" s="327"/>
      <c r="AZ13" s="327"/>
      <c r="BA13" s="327"/>
      <c r="BB13" s="327"/>
      <c r="BC13" s="327"/>
      <c r="BD13" s="327"/>
      <c r="BE13" s="327"/>
      <c r="BF13" s="327"/>
      <c r="BG13" s="327"/>
      <c r="BH13" s="327"/>
      <c r="BI13" s="327"/>
      <c r="BJ13" s="327"/>
      <c r="BK13" s="327"/>
      <c r="BL13" s="327"/>
    </row>
    <row r="14" spans="1:64" ht="15.75" thickBot="1">
      <c r="A14">
        <f>IF(B14=Печать!$A$29,1,0)*IF(C14=Печать!$C$29,1,0)*IF(B4=Печать!D29,1,0)</f>
        <v>1</v>
      </c>
      <c r="B14" s="155" t="s">
        <v>649</v>
      </c>
      <c r="C14" s="156" t="s">
        <v>646</v>
      </c>
      <c r="D14" s="165">
        <f>CEILING(Y14*Настройки!$O$15*A14*$D$4,Настройки!$Q$15)</f>
        <v>0</v>
      </c>
      <c r="E14" s="165">
        <f>CEILING(Z14*Настройки!$O$15*$A$6*$E$4,Настройки!$Q$15)</f>
        <v>0</v>
      </c>
      <c r="F14" s="165">
        <f>CEILING(AA14*Настройки!$O$15*A14*$F$4,Настройки!$Q$15)</f>
        <v>2200</v>
      </c>
      <c r="G14" s="165">
        <f>CEILING(AB14*Настройки!$O$15*A14*$G$4,Настройки!$Q$15)</f>
        <v>0</v>
      </c>
      <c r="H14" s="165">
        <f>CEILING(AC14*Настройки!$O$15*A14*$H$4,Настройки!$Q$15)</f>
        <v>0</v>
      </c>
      <c r="I14" s="165">
        <f>CEILING(AD14*Настройки!$O$15*A14*$I$4,Настройки!$Q$15)</f>
        <v>0</v>
      </c>
      <c r="J14" s="165">
        <f>CEILING(AE14*Настройки!$O$15*A14*$J$4,Настройки!$Q$15)</f>
        <v>0</v>
      </c>
      <c r="K14" s="165">
        <f>CEILING(AF14*Настройки!$O$15*A14*$K$4,Настройки!$Q$15)</f>
        <v>0</v>
      </c>
      <c r="L14" s="165">
        <f>CEILING(AG14*Настройки!$O$15*A14*$L$4,Настройки!$Q$15)</f>
        <v>0</v>
      </c>
      <c r="M14" s="165">
        <f>CEILING(AH14*Настройки!$O$15*A14*$M$4,Настройки!$Q$15)</f>
        <v>0</v>
      </c>
      <c r="N14" s="165">
        <f>CEILING(AI14*Настройки!$O$15*A14*$N$4,Настройки!$Q$15)</f>
        <v>0</v>
      </c>
      <c r="O14" s="165">
        <f>CEILING(AJ14*Настройки!$O$15*A14*$O$4,Настройки!$Q$15)</f>
        <v>0</v>
      </c>
      <c r="P14" s="165">
        <f>CEILING(AK14*Настройки!$O$15*A14*$P$4,Настройки!$Q$15)</f>
        <v>0</v>
      </c>
      <c r="Q14" s="165">
        <f>CEILING(AL14*Настройки!$O$15*A14*$Q$4,Настройки!$Q$15)</f>
        <v>0</v>
      </c>
      <c r="R14" s="165">
        <f>CEILING(AM14*Настройки!$O$15*A14*$R$4,Настройки!$Q$15)</f>
        <v>0</v>
      </c>
      <c r="S14" s="165">
        <f>CEILING(AN14*Настройки!$O$15*A14*$S$4,Настройки!$Q$15)</f>
        <v>0</v>
      </c>
      <c r="T14" s="165">
        <f>CEILING(AO14*Настройки!$O$15*A14*$T$4,Настройки!$Q$15)</f>
        <v>0</v>
      </c>
      <c r="U14" s="165">
        <f>CEILING(AP14*Настройки!$O$15*A14*$U$4,Настройки!$Q$15)</f>
        <v>0</v>
      </c>
      <c r="W14" s="155" t="s">
        <v>649</v>
      </c>
      <c r="X14" s="156" t="s">
        <v>646</v>
      </c>
      <c r="Y14" s="333">
        <v>1061.55</v>
      </c>
      <c r="Z14" s="333">
        <v>1158.1500000000001</v>
      </c>
      <c r="AA14" s="333">
        <v>1274.7</v>
      </c>
      <c r="AB14" s="333">
        <v>1430.1000000000001</v>
      </c>
      <c r="AC14" s="333">
        <v>2117.85</v>
      </c>
      <c r="AD14" s="333">
        <v>2807.7000000000003</v>
      </c>
      <c r="AE14" s="333">
        <v>3231.9</v>
      </c>
      <c r="AF14" s="333">
        <v>3618.3</v>
      </c>
      <c r="AG14" s="333">
        <v>4181.1000000000004</v>
      </c>
      <c r="AH14" s="333">
        <v>5304.6</v>
      </c>
      <c r="AI14" s="333">
        <v>6512.1</v>
      </c>
      <c r="AJ14" s="333">
        <v>13238.400000000001</v>
      </c>
      <c r="AK14" s="333">
        <v>19591.95</v>
      </c>
      <c r="AL14" s="333">
        <v>26059.95</v>
      </c>
      <c r="AM14" s="333">
        <v>32139.45</v>
      </c>
      <c r="AN14" s="333">
        <v>36733.200000000004</v>
      </c>
      <c r="AO14" s="333">
        <v>48203.4</v>
      </c>
      <c r="AP14" s="333">
        <v>60645.9</v>
      </c>
      <c r="AR14" s="327"/>
      <c r="AS14" s="327"/>
      <c r="AT14" s="327"/>
      <c r="AU14" s="327"/>
      <c r="AV14" s="327"/>
      <c r="AW14" s="327"/>
      <c r="AX14" s="327"/>
      <c r="AY14" s="327"/>
      <c r="AZ14" s="327"/>
      <c r="BA14" s="327"/>
      <c r="BB14" s="327"/>
      <c r="BC14" s="327"/>
      <c r="BD14" s="327"/>
      <c r="BE14" s="327"/>
      <c r="BF14" s="327"/>
      <c r="BG14" s="327"/>
      <c r="BH14" s="327"/>
      <c r="BI14" s="327"/>
      <c r="BJ14" s="327"/>
      <c r="BK14" s="327"/>
      <c r="BL14" s="327"/>
    </row>
    <row r="15" spans="1:64" ht="15.75" thickBot="1">
      <c r="A15">
        <f>IF(B15=Печать!$A$29,1,0)*IF(C15=Печать!$C$29,1,0)*IF(B4=Печать!D29,1,0)</f>
        <v>0</v>
      </c>
      <c r="B15" s="153" t="s">
        <v>20</v>
      </c>
      <c r="C15" s="154" t="s">
        <v>644</v>
      </c>
      <c r="D15" s="165">
        <f>CEILING(Y15*Настройки!$O$15*A15*$D$4,Настройки!$Q$15)</f>
        <v>0</v>
      </c>
      <c r="E15" s="165">
        <f>CEILING(Z15*Настройки!$O$15*$A$6*$E$4,Настройки!$Q$15)</f>
        <v>0</v>
      </c>
      <c r="F15" s="165">
        <f>CEILING(AA15*Настройки!$O$15*A15*$F$4,Настройки!$Q$15)</f>
        <v>0</v>
      </c>
      <c r="G15" s="165">
        <f>CEILING(AB15*Настройки!$O$15*A15*$G$4,Настройки!$Q$15)</f>
        <v>0</v>
      </c>
      <c r="H15" s="165">
        <f>CEILING(AC15*Настройки!$O$15*A15*$H$4,Настройки!$Q$15)</f>
        <v>0</v>
      </c>
      <c r="I15" s="165">
        <f>CEILING(AD15*Настройки!$O$15*A15*$I$4,Настройки!$Q$15)</f>
        <v>0</v>
      </c>
      <c r="J15" s="165">
        <f>CEILING(AE15*Настройки!$O$15*A15*$J$4,Настройки!$Q$15)</f>
        <v>0</v>
      </c>
      <c r="K15" s="165">
        <f>CEILING(AF15*Настройки!$O$15*A15*$K$4,Настройки!$Q$15)</f>
        <v>0</v>
      </c>
      <c r="L15" s="165">
        <f>CEILING(AG15*Настройки!$O$15*A15*$L$4,Настройки!$Q$15)</f>
        <v>0</v>
      </c>
      <c r="M15" s="165">
        <f>CEILING(AH15*Настройки!$O$15*A15*$M$4,Настройки!$Q$15)</f>
        <v>0</v>
      </c>
      <c r="N15" s="165">
        <f>CEILING(AI15*Настройки!$O$15*A15*$N$4,Настройки!$Q$15)</f>
        <v>0</v>
      </c>
      <c r="O15" s="165">
        <f>CEILING(AJ15*Настройки!$O$15*A15*$O$4,Настройки!$Q$15)</f>
        <v>0</v>
      </c>
      <c r="P15" s="165">
        <f>CEILING(AK15*Настройки!$O$15*A15*$P$4,Настройки!$Q$15)</f>
        <v>0</v>
      </c>
      <c r="Q15" s="165">
        <f>CEILING(AL15*Настройки!$O$15*A15*$Q$4,Настройки!$Q$15)</f>
        <v>0</v>
      </c>
      <c r="R15" s="165">
        <f>CEILING(AM15*Настройки!$O$15*A15*$R$4,Настройки!$Q$15)</f>
        <v>0</v>
      </c>
      <c r="S15" s="165">
        <f>CEILING(AN15*Настройки!$O$15*A15*$S$4,Настройки!$Q$15)</f>
        <v>0</v>
      </c>
      <c r="T15" s="165">
        <f>CEILING(AO15*Настройки!$O$15*A15*$T$4,Настройки!$Q$15)</f>
        <v>0</v>
      </c>
      <c r="U15" s="165">
        <f>CEILING(AP15*Настройки!$O$15*A15*$U$4,Настройки!$Q$15)</f>
        <v>0</v>
      </c>
      <c r="W15" s="153" t="s">
        <v>20</v>
      </c>
      <c r="X15" s="154" t="s">
        <v>644</v>
      </c>
      <c r="Y15" s="333">
        <v>4817.4000000000005</v>
      </c>
      <c r="Z15" s="333">
        <v>5157.6000000000004</v>
      </c>
      <c r="AA15" s="333">
        <v>5457.9000000000005</v>
      </c>
      <c r="AB15" s="333">
        <v>5776.05</v>
      </c>
      <c r="AC15" s="333">
        <v>7629.3</v>
      </c>
      <c r="AD15" s="333">
        <v>9431.1</v>
      </c>
      <c r="AE15" s="333">
        <v>11763.15</v>
      </c>
      <c r="AF15" s="333">
        <v>13419</v>
      </c>
      <c r="AG15" s="333">
        <v>15530.550000000001</v>
      </c>
      <c r="AH15" s="333">
        <v>19756.8</v>
      </c>
      <c r="AI15" s="333">
        <v>24267.600000000002</v>
      </c>
      <c r="AJ15" s="333">
        <v>42852.6</v>
      </c>
      <c r="AK15" s="333">
        <v>59703</v>
      </c>
      <c r="AL15" s="333">
        <v>79828.350000000006</v>
      </c>
      <c r="AM15" s="333">
        <v>118359.15000000001</v>
      </c>
      <c r="AN15" s="333">
        <v>149093.70000000001</v>
      </c>
      <c r="AO15" s="333">
        <v>195403.95</v>
      </c>
      <c r="AP15" s="333">
        <v>241714.2</v>
      </c>
      <c r="AR15" s="327"/>
      <c r="AS15" s="327"/>
      <c r="AT15" s="327"/>
      <c r="AU15" s="327"/>
      <c r="AV15" s="327"/>
      <c r="AW15" s="327"/>
      <c r="AX15" s="327"/>
      <c r="AY15" s="327"/>
      <c r="AZ15" s="327"/>
      <c r="BA15" s="327"/>
      <c r="BB15" s="327"/>
      <c r="BC15" s="327"/>
      <c r="BD15" s="327"/>
      <c r="BE15" s="327"/>
      <c r="BF15" s="327"/>
      <c r="BG15" s="327"/>
      <c r="BH15" s="327"/>
      <c r="BI15" s="327"/>
      <c r="BJ15" s="327"/>
      <c r="BK15" s="327"/>
      <c r="BL15" s="327"/>
    </row>
    <row r="16" spans="1:64" ht="15.75" thickBot="1">
      <c r="A16">
        <f>IF(B16=Печать!$A$29,1,0)*IF(C16=Печать!$C$29,1,0)*IF(B4=Печать!D29,1,0)</f>
        <v>0</v>
      </c>
      <c r="B16" s="155" t="s">
        <v>20</v>
      </c>
      <c r="C16" s="156" t="s">
        <v>646</v>
      </c>
      <c r="D16" s="165">
        <f>CEILING(Y16*Настройки!$O$15*A16*$D$4,Настройки!$Q$15)</f>
        <v>0</v>
      </c>
      <c r="E16" s="165">
        <f>CEILING(Z16*Настройки!$O$15*$A$6*$E$4,Настройки!$Q$15)</f>
        <v>0</v>
      </c>
      <c r="F16" s="165">
        <f>CEILING(AA16*Настройки!$O$15*A16*$F$4,Настройки!$Q$15)</f>
        <v>0</v>
      </c>
      <c r="G16" s="165">
        <f>CEILING(AB16*Настройки!$O$15*A16*$G$4,Настройки!$Q$15)</f>
        <v>0</v>
      </c>
      <c r="H16" s="165">
        <f>CEILING(AC16*Настройки!$O$15*A16*$H$4,Настройки!$Q$15)</f>
        <v>0</v>
      </c>
      <c r="I16" s="165">
        <f>CEILING(AD16*Настройки!$O$15*A16*$I$4,Настройки!$Q$15)</f>
        <v>0</v>
      </c>
      <c r="J16" s="165">
        <f>CEILING(AE16*Настройки!$O$15*A16*$J$4,Настройки!$Q$15)</f>
        <v>0</v>
      </c>
      <c r="K16" s="165">
        <f>CEILING(AF16*Настройки!$O$15*A16*$K$4,Настройки!$Q$15)</f>
        <v>0</v>
      </c>
      <c r="L16" s="165">
        <f>CEILING(AG16*Настройки!$O$15*A16*$L$4,Настройки!$Q$15)</f>
        <v>0</v>
      </c>
      <c r="M16" s="165">
        <f>CEILING(AH16*Настройки!$O$15*A16*$M$4,Настройки!$Q$15)</f>
        <v>0</v>
      </c>
      <c r="N16" s="165">
        <f>CEILING(AI16*Настройки!$O$15*A16*$N$4,Настройки!$Q$15)</f>
        <v>0</v>
      </c>
      <c r="O16" s="165">
        <f>CEILING(AJ16*Настройки!$O$15*A16*$O$4,Настройки!$Q$15)</f>
        <v>0</v>
      </c>
      <c r="P16" s="165">
        <f>CEILING(AK16*Настройки!$O$15*A16*$P$4,Настройки!$Q$15)</f>
        <v>0</v>
      </c>
      <c r="Q16" s="165">
        <f>CEILING(AL16*Настройки!$O$15*A16*$Q$4,Настройки!$Q$15)</f>
        <v>0</v>
      </c>
      <c r="R16" s="165">
        <f>CEILING(AM16*Настройки!$O$15*A16*$R$4,Настройки!$Q$15)</f>
        <v>0</v>
      </c>
      <c r="S16" s="165">
        <f>CEILING(AN16*Настройки!$O$15*A16*$S$4,Настройки!$Q$15)</f>
        <v>0</v>
      </c>
      <c r="T16" s="165">
        <f>CEILING(AO16*Настройки!$O$15*A16*$T$4,Настройки!$Q$15)</f>
        <v>0</v>
      </c>
      <c r="U16" s="165">
        <f>CEILING(AP16*Настройки!$O$15*A16*$U$4,Настройки!$Q$15)</f>
        <v>0</v>
      </c>
      <c r="W16" s="155" t="s">
        <v>20</v>
      </c>
      <c r="X16" s="156" t="s">
        <v>646</v>
      </c>
      <c r="Y16" s="333">
        <v>4068.75</v>
      </c>
      <c r="Z16" s="333">
        <v>4437.3</v>
      </c>
      <c r="AA16" s="333">
        <v>4927.6500000000005</v>
      </c>
      <c r="AB16" s="333">
        <v>5616.45</v>
      </c>
      <c r="AC16" s="333">
        <v>6940.5</v>
      </c>
      <c r="AD16" s="333">
        <v>8478.75</v>
      </c>
      <c r="AE16" s="333">
        <v>10915.800000000001</v>
      </c>
      <c r="AF16" s="333">
        <v>12447.75</v>
      </c>
      <c r="AG16" s="333">
        <v>13875.75</v>
      </c>
      <c r="AH16" s="333">
        <v>16729.650000000001</v>
      </c>
      <c r="AI16" s="333">
        <v>19818.75</v>
      </c>
      <c r="AJ16" s="333">
        <v>37102.800000000003</v>
      </c>
      <c r="AK16" s="333">
        <v>49871.85</v>
      </c>
      <c r="AL16" s="333">
        <v>66796.800000000003</v>
      </c>
      <c r="AM16" s="333">
        <v>96993.75</v>
      </c>
      <c r="AN16" s="333">
        <v>122821.65000000001</v>
      </c>
      <c r="AO16" s="333">
        <v>159353.25</v>
      </c>
      <c r="AP16" s="333">
        <v>198376.5</v>
      </c>
      <c r="AR16" s="327"/>
      <c r="AS16" s="327"/>
      <c r="AT16" s="327"/>
      <c r="AU16" s="327"/>
      <c r="AV16" s="327"/>
      <c r="AW16" s="327"/>
      <c r="AX16" s="327"/>
      <c r="AY16" s="327"/>
      <c r="AZ16" s="327"/>
      <c r="BA16" s="327"/>
      <c r="BB16" s="327"/>
      <c r="BC16" s="327"/>
      <c r="BD16" s="327"/>
      <c r="BE16" s="327"/>
      <c r="BF16" s="327"/>
      <c r="BG16" s="327"/>
      <c r="BH16" s="327"/>
      <c r="BI16" s="327"/>
      <c r="BJ16" s="327"/>
      <c r="BK16" s="327"/>
      <c r="BL16" s="327"/>
    </row>
    <row r="17" spans="1:64" ht="15.75" thickBot="1">
      <c r="A17">
        <f>IF(B17=Печать!$A$29,1,0)*IF(C17=Печать!$C$29,1,0)*IF(B4=Печать!D29,1,0)</f>
        <v>0</v>
      </c>
      <c r="B17" s="153" t="s">
        <v>650</v>
      </c>
      <c r="C17" s="154" t="s">
        <v>644</v>
      </c>
      <c r="D17" s="165">
        <f>CEILING(Y17*Настройки!$O$15*A17*$D$4,Настройки!$Q$15)</f>
        <v>0</v>
      </c>
      <c r="E17" s="165">
        <f>CEILING(Z17*Настройки!$O$15*$A$6*$E$4,Настройки!$Q$15)</f>
        <v>0</v>
      </c>
      <c r="F17" s="165">
        <f>CEILING(AA17*Настройки!$O$15*A17*$F$4,Настройки!$Q$15)</f>
        <v>0</v>
      </c>
      <c r="G17" s="165">
        <f>CEILING(AB17*Настройки!$O$15*A17*$G$4,Настройки!$Q$15)</f>
        <v>0</v>
      </c>
      <c r="H17" s="165">
        <f>CEILING(AC17*Настройки!$O$15*A17*$H$4,Настройки!$Q$15)</f>
        <v>0</v>
      </c>
      <c r="I17" s="165">
        <f>CEILING(AD17*Настройки!$O$15*A17*$I$4,Настройки!$Q$15)</f>
        <v>0</v>
      </c>
      <c r="J17" s="165">
        <f>CEILING(AE17*Настройки!$O$15*A17*$J$4,Настройки!$Q$15)</f>
        <v>0</v>
      </c>
      <c r="K17" s="165">
        <f>CEILING(AF17*Настройки!$O$15*A17*$K$4,Настройки!$Q$15)</f>
        <v>0</v>
      </c>
      <c r="L17" s="165">
        <f>CEILING(AG17*Настройки!$O$15*A17*$L$4,Настройки!$Q$15)</f>
        <v>0</v>
      </c>
      <c r="M17" s="165">
        <f>CEILING(AH17*Настройки!$O$15*A17*$M$4,Настройки!$Q$15)</f>
        <v>0</v>
      </c>
      <c r="N17" s="165">
        <f>CEILING(AI17*Настройки!$O$15*A17*$N$4,Настройки!$Q$15)</f>
        <v>0</v>
      </c>
      <c r="O17" s="165">
        <f>CEILING(AJ17*Настройки!$O$15*A17*$O$4,Настройки!$Q$15)</f>
        <v>0</v>
      </c>
      <c r="P17" s="165">
        <f>CEILING(AK17*Настройки!$O$15*A17*$P$4,Настройки!$Q$15)</f>
        <v>0</v>
      </c>
      <c r="Q17" s="165">
        <f>CEILING(AL17*Настройки!$O$15*A17*$Q$4,Настройки!$Q$15)</f>
        <v>0</v>
      </c>
      <c r="R17" s="165">
        <f>CEILING(AM17*Настройки!$O$15*A17*$R$4,Настройки!$Q$15)</f>
        <v>0</v>
      </c>
      <c r="S17" s="165">
        <f>CEILING(AN17*Настройки!$O$15*A17*$S$4,Настройки!$Q$15)</f>
        <v>0</v>
      </c>
      <c r="T17" s="165">
        <f>CEILING(AO17*Настройки!$O$15*A17*$T$4,Настройки!$Q$15)</f>
        <v>0</v>
      </c>
      <c r="U17" s="165">
        <f>CEILING(AP17*Настройки!$O$15*A17*$U$4,Настройки!$Q$15)</f>
        <v>0</v>
      </c>
      <c r="W17" s="153" t="s">
        <v>650</v>
      </c>
      <c r="X17" s="154" t="s">
        <v>644</v>
      </c>
      <c r="Y17" s="333">
        <v>2389.8000000000002</v>
      </c>
      <c r="Z17" s="333">
        <v>2558.85</v>
      </c>
      <c r="AA17" s="333">
        <v>2701.65</v>
      </c>
      <c r="AB17" s="333">
        <v>3389.4</v>
      </c>
      <c r="AC17" s="333">
        <v>4418.4000000000005</v>
      </c>
      <c r="AD17" s="333">
        <v>5405.4000000000005</v>
      </c>
      <c r="AE17" s="333">
        <v>6289.5</v>
      </c>
      <c r="AF17" s="333">
        <v>7453.9500000000007</v>
      </c>
      <c r="AG17" s="333">
        <v>8522.85</v>
      </c>
      <c r="AH17" s="333">
        <v>10560.9</v>
      </c>
      <c r="AI17" s="333">
        <v>12846.75</v>
      </c>
      <c r="AJ17" s="333">
        <v>26109.300000000003</v>
      </c>
      <c r="AK17" s="333">
        <v>37299.15</v>
      </c>
      <c r="AL17" s="333">
        <v>47649</v>
      </c>
      <c r="AM17" s="333">
        <v>57230.25</v>
      </c>
      <c r="AN17" s="333">
        <v>69192.900000000009</v>
      </c>
      <c r="AO17" s="333">
        <v>90706.35</v>
      </c>
      <c r="AP17" s="333">
        <v>112221.90000000001</v>
      </c>
      <c r="AR17" s="327"/>
      <c r="AS17" s="327"/>
      <c r="AT17" s="327"/>
      <c r="AU17" s="327"/>
      <c r="AV17" s="327"/>
      <c r="AW17" s="327"/>
      <c r="AX17" s="327"/>
      <c r="AY17" s="327"/>
      <c r="AZ17" s="327"/>
      <c r="BA17" s="327"/>
      <c r="BB17" s="327"/>
      <c r="BC17" s="327"/>
      <c r="BD17" s="327"/>
      <c r="BE17" s="327"/>
      <c r="BF17" s="327"/>
      <c r="BG17" s="327"/>
      <c r="BH17" s="327"/>
      <c r="BI17" s="327"/>
      <c r="BJ17" s="327"/>
      <c r="BK17" s="327"/>
      <c r="BL17" s="327"/>
    </row>
    <row r="18" spans="1:64" ht="15.75" thickBot="1">
      <c r="A18">
        <f>IF(B18=Печать!$A$29,1,0)*IF(C18=Печать!$C$29,1,0)*IF(B4=Печать!D29,1,0)</f>
        <v>0</v>
      </c>
      <c r="B18" s="155" t="s">
        <v>650</v>
      </c>
      <c r="C18" s="156" t="s">
        <v>646</v>
      </c>
      <c r="D18" s="165">
        <f>CEILING(Y18*Настройки!$O$15*A18*$D$4,Настройки!$Q$15)</f>
        <v>0</v>
      </c>
      <c r="E18" s="165">
        <f>CEILING(Z18*Настройки!$O$15*$A$6*$E$4,Настройки!$Q$15)</f>
        <v>0</v>
      </c>
      <c r="F18" s="165">
        <f>CEILING(AA18*Настройки!$O$15*A18*$F$4,Настройки!$Q$15)</f>
        <v>0</v>
      </c>
      <c r="G18" s="165">
        <f>CEILING(AB18*Настройки!$O$15*A18*$G$4,Настройки!$Q$15)</f>
        <v>0</v>
      </c>
      <c r="H18" s="165">
        <f>CEILING(AC18*Настройки!$O$15*A18*$H$4,Настройки!$Q$15)</f>
        <v>0</v>
      </c>
      <c r="I18" s="165">
        <f>CEILING(AD18*Настройки!$O$15*A18*$I$4,Настройки!$Q$15)</f>
        <v>0</v>
      </c>
      <c r="J18" s="165">
        <f>CEILING(AE18*Настройки!$O$15*A18*$J$4,Настройки!$Q$15)</f>
        <v>0</v>
      </c>
      <c r="K18" s="165">
        <f>CEILING(AF18*Настройки!$O$15*A18*$K$4,Настройки!$Q$15)</f>
        <v>0</v>
      </c>
      <c r="L18" s="165">
        <f>CEILING(AG18*Настройки!$O$15*A18*$L$4,Настройки!$Q$15)</f>
        <v>0</v>
      </c>
      <c r="M18" s="165">
        <f>CEILING(AH18*Настройки!$O$15*A18*$M$4,Настройки!$Q$15)</f>
        <v>0</v>
      </c>
      <c r="N18" s="165">
        <f>CEILING(AI18*Настройки!$O$15*A18*$N$4,Настройки!$Q$15)</f>
        <v>0</v>
      </c>
      <c r="O18" s="165">
        <f>CEILING(AJ18*Настройки!$O$15*A18*$O$4,Настройки!$Q$15)</f>
        <v>0</v>
      </c>
      <c r="P18" s="165">
        <f>CEILING(AK18*Настройки!$O$15*A18*$P$4,Настройки!$Q$15)</f>
        <v>0</v>
      </c>
      <c r="Q18" s="165">
        <f>CEILING(AL18*Настройки!$O$15*A18*$Q$4,Настройки!$Q$15)</f>
        <v>0</v>
      </c>
      <c r="R18" s="165">
        <f>CEILING(AM18*Настройки!$O$15*A18*$R$4,Настройки!$Q$15)</f>
        <v>0</v>
      </c>
      <c r="S18" s="165">
        <f>CEILING(AN18*Настройки!$O$15*A18*$S$4,Настройки!$Q$15)</f>
        <v>0</v>
      </c>
      <c r="T18" s="165">
        <f>CEILING(AO18*Настройки!$O$15*A18*$T$4,Настройки!$Q$15)</f>
        <v>0</v>
      </c>
      <c r="U18" s="165">
        <f>CEILING(AP18*Настройки!$O$15*A18*$U$4,Настройки!$Q$15)</f>
        <v>0</v>
      </c>
      <c r="W18" s="155" t="s">
        <v>650</v>
      </c>
      <c r="X18" s="156" t="s">
        <v>646</v>
      </c>
      <c r="Y18" s="333">
        <v>2020.2</v>
      </c>
      <c r="Z18" s="333">
        <v>2202.9</v>
      </c>
      <c r="AA18" s="333">
        <v>2436</v>
      </c>
      <c r="AB18" s="333">
        <v>3125.85</v>
      </c>
      <c r="AC18" s="333">
        <v>2847.6</v>
      </c>
      <c r="AD18" s="333">
        <v>4678.8</v>
      </c>
      <c r="AE18" s="333">
        <v>5561.85</v>
      </c>
      <c r="AF18" s="333">
        <v>6427.05</v>
      </c>
      <c r="AG18" s="333">
        <v>7476</v>
      </c>
      <c r="AH18" s="333">
        <v>9480.4500000000007</v>
      </c>
      <c r="AI18" s="333">
        <v>11709.6</v>
      </c>
      <c r="AJ18" s="333">
        <v>23779.350000000002</v>
      </c>
      <c r="AK18" s="333">
        <v>35211.75</v>
      </c>
      <c r="AL18" s="333">
        <v>45203.55</v>
      </c>
      <c r="AM18" s="333">
        <v>53352.600000000006</v>
      </c>
      <c r="AN18" s="333">
        <v>57604.05</v>
      </c>
      <c r="AO18" s="333">
        <v>75264</v>
      </c>
      <c r="AP18" s="333">
        <v>100827.3</v>
      </c>
      <c r="AR18" s="327"/>
      <c r="AS18" s="327"/>
      <c r="AT18" s="327"/>
      <c r="AU18" s="327"/>
      <c r="AV18" s="327"/>
      <c r="AW18" s="327"/>
      <c r="AX18" s="327"/>
      <c r="AY18" s="327"/>
      <c r="AZ18" s="327"/>
      <c r="BA18" s="327"/>
      <c r="BB18" s="327"/>
      <c r="BC18" s="327"/>
      <c r="BD18" s="327"/>
      <c r="BE18" s="327"/>
      <c r="BF18" s="327"/>
      <c r="BG18" s="327"/>
      <c r="BH18" s="327"/>
      <c r="BI18" s="327"/>
      <c r="BJ18" s="327"/>
      <c r="BK18" s="327"/>
      <c r="BL18" s="327"/>
    </row>
    <row r="19" spans="1:64" ht="15.75" thickBot="1">
      <c r="A19">
        <f>IF(B19=Печать!$A$29,1,0)*IF(C19=Печать!$C$29,1,0)*IF(B4=Печать!D29,1,0)</f>
        <v>0</v>
      </c>
      <c r="B19" s="153" t="s">
        <v>651</v>
      </c>
      <c r="C19" s="154" t="s">
        <v>644</v>
      </c>
      <c r="D19" s="165">
        <f>CEILING(Y19*Настройки!$O$15*A19*$D$4,Настройки!$Q$15)</f>
        <v>0</v>
      </c>
      <c r="E19" s="165">
        <f>CEILING(Z19*Настройки!$O$15*$A$6*$E$4,Настройки!$Q$15)</f>
        <v>0</v>
      </c>
      <c r="F19" s="165">
        <f>CEILING(AA19*Настройки!$O$15*A19*$F$4,Настройки!$Q$15)</f>
        <v>0</v>
      </c>
      <c r="G19" s="165">
        <f>CEILING(AB19*Настройки!$O$15*A19*$G$4,Настройки!$Q$15)</f>
        <v>0</v>
      </c>
      <c r="H19" s="165">
        <f>CEILING(AC19*Настройки!$O$15*A19*$H$4,Настройки!$Q$15)</f>
        <v>0</v>
      </c>
      <c r="I19" s="165">
        <f>CEILING(AD19*Настройки!$O$15*A19*$I$4,Настройки!$Q$15)</f>
        <v>0</v>
      </c>
      <c r="J19" s="165">
        <f>CEILING(AE19*Настройки!$O$15*A19*$J$4,Настройки!$Q$15)</f>
        <v>0</v>
      </c>
      <c r="K19" s="165">
        <f>CEILING(AF19*Настройки!$O$15*A19*$K$4,Настройки!$Q$15)</f>
        <v>0</v>
      </c>
      <c r="L19" s="165">
        <f>CEILING(AG19*Настройки!$O$15*A19*$L$4,Настройки!$Q$15)</f>
        <v>0</v>
      </c>
      <c r="M19" s="165">
        <f>CEILING(AH19*Настройки!$O$15*A19*$M$4,Настройки!$Q$15)</f>
        <v>0</v>
      </c>
      <c r="N19" s="165">
        <f>CEILING(AI19*Настройки!$O$15*A19*$N$4,Настройки!$Q$15)</f>
        <v>0</v>
      </c>
      <c r="O19" s="165">
        <f>CEILING(AJ19*Настройки!$O$15*A19*$O$4,Настройки!$Q$15)</f>
        <v>0</v>
      </c>
      <c r="P19" s="165">
        <f>CEILING(AK19*Настройки!$O$15*A19*$P$4,Настройки!$Q$15)</f>
        <v>0</v>
      </c>
      <c r="Q19" s="165">
        <f>CEILING(AL19*Настройки!$O$15*A19*$Q$4,Настройки!$Q$15)</f>
        <v>0</v>
      </c>
      <c r="R19" s="165">
        <f>CEILING(AM19*Настройки!$O$15*A19*$R$4,Настройки!$Q$15)</f>
        <v>0</v>
      </c>
      <c r="S19" s="165">
        <f>CEILING(AN19*Настройки!$O$15*A19*$S$4,Настройки!$Q$15)</f>
        <v>0</v>
      </c>
      <c r="T19" s="165">
        <f>CEILING(AO19*Настройки!$O$15*A19*$T$4,Настройки!$Q$15)</f>
        <v>0</v>
      </c>
      <c r="U19" s="165">
        <f>CEILING(AP19*Настройки!$O$15*A19*$U$4,Настройки!$Q$15)</f>
        <v>0</v>
      </c>
      <c r="W19" s="153" t="s">
        <v>651</v>
      </c>
      <c r="X19" s="154" t="s">
        <v>644</v>
      </c>
      <c r="Y19" s="333">
        <v>1500.45</v>
      </c>
      <c r="Z19" s="333">
        <v>1605.45</v>
      </c>
      <c r="AA19" s="333">
        <v>1695.75</v>
      </c>
      <c r="AB19" s="333">
        <v>2171.4</v>
      </c>
      <c r="AC19" s="333">
        <v>2807.7000000000003</v>
      </c>
      <c r="AD19" s="333">
        <v>3441.9</v>
      </c>
      <c r="AE19" s="333">
        <v>3637.2000000000003</v>
      </c>
      <c r="AF19" s="333">
        <v>4591.6500000000005</v>
      </c>
      <c r="AG19" s="333">
        <v>5358.1500000000005</v>
      </c>
      <c r="AH19" s="333">
        <v>6892.2000000000007</v>
      </c>
      <c r="AI19" s="333">
        <v>8538.6</v>
      </c>
      <c r="AJ19" s="333">
        <v>18754.05</v>
      </c>
      <c r="AK19" s="333">
        <v>26390.7</v>
      </c>
      <c r="AL19" s="333">
        <v>34653.15</v>
      </c>
      <c r="AM19" s="333">
        <v>43696.800000000003</v>
      </c>
      <c r="AN19" s="333">
        <v>47677.35</v>
      </c>
      <c r="AO19" s="333">
        <v>58623.600000000006</v>
      </c>
      <c r="AP19" s="333">
        <v>71890.350000000006</v>
      </c>
      <c r="AR19" s="327"/>
      <c r="AS19" s="327"/>
      <c r="AT19" s="327"/>
      <c r="AU19" s="327"/>
      <c r="AV19" s="327"/>
      <c r="AW19" s="327"/>
      <c r="AX19" s="327"/>
      <c r="AY19" s="327"/>
      <c r="AZ19" s="327"/>
      <c r="BA19" s="327"/>
      <c r="BB19" s="327"/>
      <c r="BC19" s="327"/>
      <c r="BD19" s="327"/>
      <c r="BE19" s="327"/>
      <c r="BF19" s="327"/>
      <c r="BG19" s="327"/>
      <c r="BH19" s="327"/>
      <c r="BI19" s="327"/>
      <c r="BJ19" s="327"/>
      <c r="BK19" s="327"/>
      <c r="BL19" s="327"/>
    </row>
    <row r="20" spans="1:64" ht="15.75" thickBot="1">
      <c r="A20">
        <f>IF(B20=Печать!$A$29,1,0)*IF(C20=Печать!$C$29,1,0)*IF(B4=Печать!D29,1,0)</f>
        <v>0</v>
      </c>
      <c r="B20" s="155" t="s">
        <v>651</v>
      </c>
      <c r="C20" s="156" t="s">
        <v>646</v>
      </c>
      <c r="D20" s="165">
        <f>CEILING(Y20*Настройки!$O$15*A20*$D$4,Настройки!$Q$15)</f>
        <v>0</v>
      </c>
      <c r="E20" s="165">
        <f>CEILING(Z20*Настройки!$O$15*$A$6*$E$4,Настройки!$Q$15)</f>
        <v>0</v>
      </c>
      <c r="F20" s="165">
        <f>CEILING(AA20*Настройки!$O$15*A20*$F$4,Настройки!$Q$15)</f>
        <v>0</v>
      </c>
      <c r="G20" s="165">
        <f>CEILING(AB20*Настройки!$O$15*A20*$G$4,Настройки!$Q$15)</f>
        <v>0</v>
      </c>
      <c r="H20" s="165">
        <f>CEILING(AC20*Настройки!$O$15*A20*$H$4,Настройки!$Q$15)</f>
        <v>0</v>
      </c>
      <c r="I20" s="165">
        <f>CEILING(AD20*Настройки!$O$15*A20*$I$4,Настройки!$Q$15)</f>
        <v>0</v>
      </c>
      <c r="J20" s="165">
        <f>CEILING(AE20*Настройки!$O$15*A20*$J$4,Настройки!$Q$15)</f>
        <v>0</v>
      </c>
      <c r="K20" s="165">
        <f>CEILING(AF20*Настройки!$O$15*A20*$K$4,Настройки!$Q$15)</f>
        <v>0</v>
      </c>
      <c r="L20" s="165">
        <f>CEILING(AG20*Настройки!$O$15*A20*$L$4,Настройки!$Q$15)</f>
        <v>0</v>
      </c>
      <c r="M20" s="165">
        <f>CEILING(AH20*Настройки!$O$15*A20*$M$4,Настройки!$Q$15)</f>
        <v>0</v>
      </c>
      <c r="N20" s="165">
        <f>CEILING(AI20*Настройки!$O$15*A20*$N$4,Настройки!$Q$15)</f>
        <v>0</v>
      </c>
      <c r="O20" s="165">
        <f>CEILING(AJ20*Настройки!$O$15*A20*$O$4,Настройки!$Q$15)</f>
        <v>0</v>
      </c>
      <c r="P20" s="165">
        <f>CEILING(AK20*Настройки!$O$15*A20*$P$4,Настройки!$Q$15)</f>
        <v>0</v>
      </c>
      <c r="Q20" s="165">
        <f>CEILING(AL20*Настройки!$O$15*A20*$Q$4,Настройки!$Q$15)</f>
        <v>0</v>
      </c>
      <c r="R20" s="165">
        <f>CEILING(AM20*Настройки!$O$15*A20*$R$4,Настройки!$Q$15)</f>
        <v>0</v>
      </c>
      <c r="S20" s="165">
        <f>CEILING(AN20*Настройки!$O$15*A20*$S$4,Настройки!$Q$15)</f>
        <v>0</v>
      </c>
      <c r="T20" s="165">
        <f>CEILING(AO20*Настройки!$O$15*A20*$T$4,Настройки!$Q$15)</f>
        <v>0</v>
      </c>
      <c r="U20" s="165">
        <f>CEILING(AP20*Настройки!$O$15*A20*$U$4,Настройки!$Q$15)</f>
        <v>0</v>
      </c>
      <c r="W20" s="155" t="s">
        <v>651</v>
      </c>
      <c r="X20" s="156" t="s">
        <v>646</v>
      </c>
      <c r="Y20" s="333">
        <v>1317.75</v>
      </c>
      <c r="Z20" s="333">
        <v>1436.4</v>
      </c>
      <c r="AA20" s="333">
        <v>1589.7</v>
      </c>
      <c r="AB20" s="333">
        <v>2013.9</v>
      </c>
      <c r="AC20" s="333">
        <v>2542.0500000000002</v>
      </c>
      <c r="AD20" s="333">
        <v>3178.35</v>
      </c>
      <c r="AE20" s="333">
        <v>3481.8</v>
      </c>
      <c r="AF20" s="333">
        <v>4320.75</v>
      </c>
      <c r="AG20" s="333">
        <v>5001.1500000000005</v>
      </c>
      <c r="AH20" s="333">
        <v>6364.05</v>
      </c>
      <c r="AI20" s="333">
        <v>7826.7000000000007</v>
      </c>
      <c r="AJ20" s="333">
        <v>17528.7</v>
      </c>
      <c r="AK20" s="333">
        <v>25246.2</v>
      </c>
      <c r="AL20" s="333">
        <v>33396.300000000003</v>
      </c>
      <c r="AM20" s="333">
        <v>37989</v>
      </c>
      <c r="AN20" s="333">
        <v>41231.4</v>
      </c>
      <c r="AO20" s="333">
        <v>55623.75</v>
      </c>
      <c r="AP20" s="333">
        <v>65520</v>
      </c>
      <c r="AR20" s="327"/>
      <c r="AS20" s="327"/>
      <c r="AT20" s="327"/>
      <c r="AU20" s="327"/>
      <c r="AV20" s="327"/>
      <c r="AW20" s="327"/>
      <c r="AX20" s="327"/>
      <c r="AY20" s="327"/>
      <c r="AZ20" s="327"/>
      <c r="BA20" s="327"/>
      <c r="BB20" s="327"/>
      <c r="BC20" s="327"/>
      <c r="BD20" s="327"/>
      <c r="BE20" s="327"/>
      <c r="BF20" s="327"/>
      <c r="BG20" s="327"/>
      <c r="BH20" s="327"/>
      <c r="BI20" s="327"/>
      <c r="BJ20" s="327"/>
      <c r="BK20" s="327"/>
      <c r="BL20" s="327"/>
    </row>
    <row r="21" spans="1:64" ht="15.75" thickBot="1">
      <c r="A21">
        <f>IF(B21=Печать!$A$29,1,0)*IF(C21=Печать!$C$29,1,0)*IF(B4=Печать!D29,1,0)</f>
        <v>0</v>
      </c>
      <c r="B21" s="153" t="s">
        <v>652</v>
      </c>
      <c r="C21" s="154" t="s">
        <v>644</v>
      </c>
      <c r="D21" s="165">
        <f>CEILING(Y21*Настройки!$O$15*A21*$D$4,Настройки!$Q$15)</f>
        <v>0</v>
      </c>
      <c r="E21" s="165">
        <f>CEILING(Z21*Настройки!$O$15*$A$6*$E$4,Настройки!$Q$15)</f>
        <v>0</v>
      </c>
      <c r="F21" s="165">
        <f>CEILING(AA21*Настройки!$O$15*A21*$F$4,Настройки!$Q$15)</f>
        <v>0</v>
      </c>
      <c r="G21" s="165">
        <f>CEILING(AB21*Настройки!$O$15*A21*$G$4,Настройки!$Q$15)</f>
        <v>0</v>
      </c>
      <c r="H21" s="165">
        <f>CEILING(AC21*Настройки!$O$15*A21*$H$4,Настройки!$Q$15)</f>
        <v>0</v>
      </c>
      <c r="I21" s="165">
        <f>CEILING(AD21*Настройки!$O$15*A21*$I$4,Настройки!$Q$15)</f>
        <v>0</v>
      </c>
      <c r="J21" s="165">
        <f>CEILING(AE21*Настройки!$O$15*A21*$J$4,Настройки!$Q$15)</f>
        <v>0</v>
      </c>
      <c r="K21" s="165">
        <f>CEILING(AF21*Настройки!$O$15*A21*$K$4,Настройки!$Q$15)</f>
        <v>0</v>
      </c>
      <c r="L21" s="165">
        <f>CEILING(AG21*Настройки!$O$15*A21*$L$4,Настройки!$Q$15)</f>
        <v>0</v>
      </c>
      <c r="M21" s="165">
        <f>CEILING(AH21*Настройки!$O$15*A21*$M$4,Настройки!$Q$15)</f>
        <v>0</v>
      </c>
      <c r="N21" s="165">
        <f>CEILING(AI21*Настройки!$O$15*A21*$N$4,Настройки!$Q$15)</f>
        <v>0</v>
      </c>
      <c r="O21" s="165">
        <f>CEILING(AJ21*Настройки!$O$15*A21*$O$4,Настройки!$Q$15)</f>
        <v>0</v>
      </c>
      <c r="P21" s="165">
        <f>CEILING(AK21*Настройки!$O$15*A21*$P$4,Настройки!$Q$15)</f>
        <v>0</v>
      </c>
      <c r="Q21" s="165">
        <f>CEILING(AL21*Настройки!$O$15*A21*$Q$4,Настройки!$Q$15)</f>
        <v>0</v>
      </c>
      <c r="R21" s="165">
        <f>CEILING(AM21*Настройки!$O$15*A21*$R$4,Настройки!$Q$15)</f>
        <v>0</v>
      </c>
      <c r="S21" s="165">
        <f>CEILING(AN21*Настройки!$O$15*A21*$S$4,Настройки!$Q$15)</f>
        <v>0</v>
      </c>
      <c r="T21" s="165">
        <f>CEILING(AO21*Настройки!$O$15*A21*$T$4,Настройки!$Q$15)</f>
        <v>0</v>
      </c>
      <c r="U21" s="165">
        <f>CEILING(AP21*Настройки!$O$15*A21*$U$4,Настройки!$Q$15)</f>
        <v>0</v>
      </c>
      <c r="W21" s="153" t="s">
        <v>652</v>
      </c>
      <c r="X21" s="154" t="s">
        <v>644</v>
      </c>
      <c r="Y21" s="333">
        <v>911.40000000000009</v>
      </c>
      <c r="Z21" s="333">
        <v>976.5</v>
      </c>
      <c r="AA21" s="333">
        <v>1027.95</v>
      </c>
      <c r="AB21" s="333">
        <v>1219.05</v>
      </c>
      <c r="AC21" s="333">
        <v>1515.15</v>
      </c>
      <c r="AD21" s="333">
        <v>1748.25</v>
      </c>
      <c r="AE21" s="333">
        <v>2219.7000000000003</v>
      </c>
      <c r="AF21" s="333">
        <v>2739.4500000000003</v>
      </c>
      <c r="AG21" s="333">
        <v>3257.1000000000004</v>
      </c>
      <c r="AH21" s="333">
        <v>4294.5</v>
      </c>
      <c r="AI21" s="333">
        <v>5097.75</v>
      </c>
      <c r="AJ21" s="333">
        <v>11059.65</v>
      </c>
      <c r="AK21" s="333">
        <v>16015.650000000001</v>
      </c>
      <c r="AL21" s="333">
        <v>25657.8</v>
      </c>
      <c r="AM21" s="333">
        <v>26791.800000000003</v>
      </c>
      <c r="AN21" s="333">
        <v>33873</v>
      </c>
      <c r="AO21" s="333">
        <v>40761</v>
      </c>
      <c r="AP21" s="333">
        <v>53594.100000000006</v>
      </c>
      <c r="AR21" s="327"/>
      <c r="AS21" s="327"/>
      <c r="AT21" s="327"/>
      <c r="AU21" s="327"/>
      <c r="AV21" s="327"/>
      <c r="AW21" s="327"/>
      <c r="AX21" s="327"/>
      <c r="AY21" s="327"/>
      <c r="AZ21" s="327"/>
      <c r="BA21" s="327"/>
      <c r="BB21" s="327"/>
      <c r="BC21" s="327"/>
      <c r="BD21" s="327"/>
      <c r="BE21" s="327"/>
      <c r="BF21" s="327"/>
      <c r="BG21" s="327"/>
      <c r="BH21" s="327"/>
      <c r="BI21" s="327"/>
      <c r="BJ21" s="327"/>
      <c r="BK21" s="327"/>
      <c r="BL21" s="327"/>
    </row>
    <row r="22" spans="1:64" ht="15.75" thickBot="1">
      <c r="A22">
        <f>IF(B22=Печать!$A$29,1,0)*IF(C22=Печать!$C$29,1,0)*IF(B4=Печать!D29,1,0)</f>
        <v>0</v>
      </c>
      <c r="B22" s="155" t="s">
        <v>652</v>
      </c>
      <c r="C22" s="156" t="s">
        <v>646</v>
      </c>
      <c r="D22" s="165">
        <f>CEILING(Y22*Настройки!$O$15*A22*$D$4,Настройки!$Q$15)</f>
        <v>0</v>
      </c>
      <c r="E22" s="165">
        <f>CEILING(Z22*Настройки!$O$15*$A$6*$E$4,Настройки!$Q$15)</f>
        <v>0</v>
      </c>
      <c r="F22" s="165">
        <f>CEILING(AA22*Настройки!$O$15*A22*$F$4,Настройки!$Q$15)</f>
        <v>0</v>
      </c>
      <c r="G22" s="165">
        <f>CEILING(AB22*Настройки!$O$15*A22*$G$4,Настройки!$Q$15)</f>
        <v>0</v>
      </c>
      <c r="H22" s="165">
        <f>CEILING(AC22*Настройки!$O$15*A22*$H$4,Настройки!$Q$15)</f>
        <v>0</v>
      </c>
      <c r="I22" s="165">
        <f>CEILING(AD22*Настройки!$O$15*A22*$I$4,Настройки!$Q$15)</f>
        <v>0</v>
      </c>
      <c r="J22" s="165">
        <f>CEILING(AE22*Настройки!$O$15*A22*$J$4,Настройки!$Q$15)</f>
        <v>0</v>
      </c>
      <c r="K22" s="165">
        <f>CEILING(AF22*Настройки!$O$15*A22*$K$4,Настройки!$Q$15)</f>
        <v>0</v>
      </c>
      <c r="L22" s="165">
        <f>CEILING(AG22*Настройки!$O$15*A22*$L$4,Настройки!$Q$15)</f>
        <v>0</v>
      </c>
      <c r="M22" s="165">
        <f>CEILING(AH22*Настройки!$O$15*A22*$M$4,Настройки!$Q$15)</f>
        <v>0</v>
      </c>
      <c r="N22" s="165">
        <f>CEILING(AI22*Настройки!$O$15*A22*$N$4,Настройки!$Q$15)</f>
        <v>0</v>
      </c>
      <c r="O22" s="165">
        <f>CEILING(AJ22*Настройки!$O$15*A22*$O$4,Настройки!$Q$15)</f>
        <v>0</v>
      </c>
      <c r="P22" s="165">
        <f>CEILING(AK22*Настройки!$O$15*A22*$P$4,Настройки!$Q$15)</f>
        <v>0</v>
      </c>
      <c r="Q22" s="165">
        <f>CEILING(AL22*Настройки!$O$15*A22*$Q$4,Настройки!$Q$15)</f>
        <v>0</v>
      </c>
      <c r="R22" s="165">
        <f>CEILING(AM22*Настройки!$O$15*A22*$R$4,Настройки!$Q$15)</f>
        <v>0</v>
      </c>
      <c r="S22" s="165">
        <f>CEILING(AN22*Настройки!$O$15*A22*$S$4,Настройки!$Q$15)</f>
        <v>0</v>
      </c>
      <c r="T22" s="165">
        <f>CEILING(AO22*Настройки!$O$15*A22*$T$4,Настройки!$Q$15)</f>
        <v>0</v>
      </c>
      <c r="U22" s="165">
        <f>CEILING(AP22*Настройки!$O$15*A22*$U$4,Настройки!$Q$15)</f>
        <v>0</v>
      </c>
      <c r="W22" s="155" t="s">
        <v>652</v>
      </c>
      <c r="X22" s="156" t="s">
        <v>646</v>
      </c>
      <c r="Y22" s="333">
        <v>811.65000000000009</v>
      </c>
      <c r="Z22" s="333">
        <v>886.2</v>
      </c>
      <c r="AA22" s="333">
        <v>975.45</v>
      </c>
      <c r="AB22" s="333">
        <v>1159.2</v>
      </c>
      <c r="AC22" s="333">
        <v>1398.6000000000001</v>
      </c>
      <c r="AD22" s="333">
        <v>1572.9</v>
      </c>
      <c r="AE22" s="333">
        <v>2010.75</v>
      </c>
      <c r="AF22" s="333">
        <v>2411.85</v>
      </c>
      <c r="AG22" s="333">
        <v>2894.85</v>
      </c>
      <c r="AH22" s="333">
        <v>3859.8</v>
      </c>
      <c r="AI22" s="333">
        <v>4699.8</v>
      </c>
      <c r="AJ22" s="333">
        <v>9656.85</v>
      </c>
      <c r="AK22" s="333">
        <v>14032.2</v>
      </c>
      <c r="AL22" s="333">
        <v>18555.600000000002</v>
      </c>
      <c r="AM22" s="333">
        <v>22887.9</v>
      </c>
      <c r="AN22" s="333">
        <v>29626.800000000003</v>
      </c>
      <c r="AO22" s="333">
        <v>35761.950000000004</v>
      </c>
      <c r="AP22" s="333">
        <v>48027</v>
      </c>
      <c r="AR22" s="327"/>
      <c r="AS22" s="327"/>
      <c r="AT22" s="327"/>
      <c r="AU22" s="327"/>
      <c r="AV22" s="327"/>
      <c r="AW22" s="327"/>
      <c r="AX22" s="327"/>
      <c r="AY22" s="327"/>
      <c r="AZ22" s="327"/>
      <c r="BA22" s="327"/>
      <c r="BB22" s="327"/>
      <c r="BC22" s="327"/>
      <c r="BD22" s="327"/>
      <c r="BE22" s="327"/>
      <c r="BF22" s="327"/>
      <c r="BG22" s="327"/>
      <c r="BH22" s="327"/>
      <c r="BI22" s="327"/>
      <c r="BJ22" s="327"/>
      <c r="BK22" s="327"/>
      <c r="BL22" s="327"/>
    </row>
    <row r="23" spans="1:64" ht="15.75" thickBot="1">
      <c r="A23">
        <f>IF(B23=Печать!$A$29,1,0)*IF(C23=Печать!$C$29,1,0)*IF(B4=Печать!D29,1,0)</f>
        <v>0</v>
      </c>
      <c r="B23" s="153" t="s">
        <v>663</v>
      </c>
      <c r="C23" s="154" t="s">
        <v>644</v>
      </c>
      <c r="D23" s="165">
        <f>CEILING(Y23*Настройки!$O$15*A23*$D$4,Настройки!$Q$15)</f>
        <v>0</v>
      </c>
      <c r="E23" s="165">
        <f>CEILING(Z23*Настройки!$O$15*$A$6*$E$4,Настройки!$Q$15)</f>
        <v>0</v>
      </c>
      <c r="F23" s="165">
        <f>CEILING(AA23*Настройки!$O$15*A23*$F$4,Настройки!$Q$15)</f>
        <v>0</v>
      </c>
      <c r="G23" s="165">
        <f>CEILING(AB23*Настройки!$O$15*A23*$G$4,Настройки!$Q$15)</f>
        <v>0</v>
      </c>
      <c r="H23" s="165">
        <f>CEILING(AC23*Настройки!$O$15*A23*$H$4,Настройки!$Q$15)</f>
        <v>0</v>
      </c>
      <c r="I23" s="165">
        <f>CEILING(AD23*Настройки!$O$15*A23*$I$4,Настройки!$Q$15)</f>
        <v>0</v>
      </c>
      <c r="J23" s="165">
        <f>CEILING(AE23*Настройки!$O$15*A23*$J$4,Настройки!$Q$15)</f>
        <v>0</v>
      </c>
      <c r="K23" s="165">
        <f>CEILING(AF23*Настройки!$O$15*A23*$K$4,Настройки!$Q$15)</f>
        <v>0</v>
      </c>
      <c r="L23" s="165">
        <f>CEILING(AG23*Настройки!$O$15*A23*$L$4,Настройки!$Q$15)</f>
        <v>0</v>
      </c>
      <c r="M23" s="165">
        <f>CEILING(AH23*Настройки!$O$15*A23*$M$4,Настройки!$Q$15)</f>
        <v>0</v>
      </c>
      <c r="N23" s="165">
        <f>CEILING(AI23*Настройки!$O$15*A23*$N$4,Настройки!$Q$15)</f>
        <v>0</v>
      </c>
      <c r="O23" s="165">
        <f>CEILING(AJ23*Настройки!$O$15*A23*$O$4,Настройки!$Q$15)</f>
        <v>0</v>
      </c>
      <c r="P23" s="165">
        <f>CEILING(AK23*Настройки!$O$15*A23*$P$4,Настройки!$Q$15)</f>
        <v>0</v>
      </c>
      <c r="Q23" s="165">
        <f>CEILING(AL23*Настройки!$O$15*A23*$Q$4,Настройки!$Q$15)</f>
        <v>0</v>
      </c>
      <c r="R23" s="165">
        <f>CEILING(AM23*Настройки!$O$15*A23*$R$4,Настройки!$Q$15)</f>
        <v>0</v>
      </c>
      <c r="S23" s="165">
        <f>CEILING(AN23*Настройки!$O$15*A23*$S$4,Настройки!$Q$15)</f>
        <v>0</v>
      </c>
      <c r="T23" s="165">
        <f>CEILING(AO23*Настройки!$O$15*A23*$T$4,Настройки!$Q$15)</f>
        <v>0</v>
      </c>
      <c r="U23" s="165">
        <f>CEILING(AP23*Настройки!$O$15*A23*$U$4,Настройки!$Q$15)</f>
        <v>0</v>
      </c>
      <c r="W23" s="155"/>
      <c r="X23" s="156"/>
      <c r="Y23" s="333">
        <v>595.35</v>
      </c>
      <c r="Z23" s="333">
        <v>636.30000000000007</v>
      </c>
      <c r="AA23" s="333">
        <v>670.95</v>
      </c>
      <c r="AB23" s="333">
        <v>853.65000000000009</v>
      </c>
      <c r="AC23" s="333">
        <v>1097.25</v>
      </c>
      <c r="AD23" s="333">
        <v>1341.9</v>
      </c>
      <c r="AE23" s="333">
        <v>1668.45</v>
      </c>
      <c r="AF23" s="333">
        <v>2020.2</v>
      </c>
      <c r="AG23" s="333">
        <v>2421.3000000000002</v>
      </c>
      <c r="AH23" s="333">
        <v>3228.75</v>
      </c>
      <c r="AI23" s="333">
        <v>3931.2000000000003</v>
      </c>
      <c r="AJ23" s="333">
        <v>8566.9500000000007</v>
      </c>
      <c r="AK23" s="333">
        <v>12747</v>
      </c>
      <c r="AL23" s="333">
        <v>16707.600000000002</v>
      </c>
      <c r="AM23" s="333">
        <v>21557.55</v>
      </c>
      <c r="AN23" s="333">
        <v>28210.350000000002</v>
      </c>
      <c r="AO23" s="333">
        <v>33119.1</v>
      </c>
      <c r="AP23" s="333">
        <v>43309.35</v>
      </c>
      <c r="AR23" s="327"/>
      <c r="AS23" s="327"/>
      <c r="AT23" s="327"/>
      <c r="AU23" s="327"/>
      <c r="AV23" s="327"/>
      <c r="AW23" s="327"/>
      <c r="AX23" s="327"/>
      <c r="AY23" s="327"/>
      <c r="AZ23" s="327"/>
      <c r="BA23" s="327"/>
      <c r="BB23" s="327"/>
      <c r="BC23" s="327"/>
      <c r="BD23" s="327"/>
      <c r="BE23" s="327"/>
      <c r="BF23" s="327"/>
      <c r="BG23" s="327"/>
      <c r="BH23" s="327"/>
      <c r="BI23" s="327"/>
      <c r="BJ23" s="327"/>
      <c r="BK23" s="327"/>
      <c r="BL23" s="327"/>
    </row>
    <row r="24" spans="1:64" ht="15.75" thickBot="1">
      <c r="A24">
        <f>IF(B24=Печать!$A$29,1,0)*IF(C24=Печать!$C$29,1,0)*IF(B4=Печать!D29,1,0)</f>
        <v>0</v>
      </c>
      <c r="B24" s="153" t="s">
        <v>663</v>
      </c>
      <c r="C24" s="156" t="s">
        <v>646</v>
      </c>
      <c r="D24" s="165">
        <f>CEILING(Y24*Настройки!$O$15*A24*$D$4,Настройки!$Q$15)</f>
        <v>0</v>
      </c>
      <c r="E24" s="165">
        <f>CEILING(Z24*Настройки!$O$15*$A$6*$E$4,Настройки!$Q$15)</f>
        <v>0</v>
      </c>
      <c r="F24" s="165">
        <f>CEILING(AA24*Настройки!$O$15*A24*$F$4,Настройки!$Q$15)</f>
        <v>0</v>
      </c>
      <c r="G24" s="165">
        <f>CEILING(AB24*Настройки!$O$15*A24*$G$4,Настройки!$Q$15)</f>
        <v>0</v>
      </c>
      <c r="H24" s="165">
        <f>CEILING(AC24*Настройки!$O$15*A24*$H$4,Настройки!$Q$15)</f>
        <v>0</v>
      </c>
      <c r="I24" s="165">
        <f>CEILING(AD24*Настройки!$O$15*A24*$I$4,Настройки!$Q$15)</f>
        <v>0</v>
      </c>
      <c r="J24" s="165">
        <f>CEILING(AE24*Настройки!$O$15*A24*$J$4,Настройки!$Q$15)</f>
        <v>0</v>
      </c>
      <c r="K24" s="165">
        <f>CEILING(AF24*Настройки!$O$15*A24*$K$4,Настройки!$Q$15)</f>
        <v>0</v>
      </c>
      <c r="L24" s="165">
        <f>CEILING(AG24*Настройки!$O$15*A24*$L$4,Настройки!$Q$15)</f>
        <v>0</v>
      </c>
      <c r="M24" s="165">
        <f>CEILING(AH24*Настройки!$O$15*A24*$M$4,Настройки!$Q$15)</f>
        <v>0</v>
      </c>
      <c r="N24" s="165">
        <f>CEILING(AI24*Настройки!$O$15*A24*$N$4,Настройки!$Q$15)</f>
        <v>0</v>
      </c>
      <c r="O24" s="165">
        <f>CEILING(AJ24*Настройки!$O$15*A24*$O$4,Настройки!$Q$15)</f>
        <v>0</v>
      </c>
      <c r="P24" s="165">
        <f>CEILING(AK24*Настройки!$O$15*A24*$P$4,Настройки!$Q$15)</f>
        <v>0</v>
      </c>
      <c r="Q24" s="165">
        <f>CEILING(AL24*Настройки!$O$15*A24*$Q$4,Настройки!$Q$15)</f>
        <v>0</v>
      </c>
      <c r="R24" s="165">
        <f>CEILING(AM24*Настройки!$O$15*A24*$R$4,Настройки!$Q$15)</f>
        <v>0</v>
      </c>
      <c r="S24" s="165">
        <f>CEILING(AN24*Настройки!$O$15*A24*$S$4,Настройки!$Q$15)</f>
        <v>0</v>
      </c>
      <c r="T24" s="165">
        <f>CEILING(AO24*Настройки!$O$15*A24*$T$4,Настройки!$Q$15)</f>
        <v>0</v>
      </c>
      <c r="U24" s="165">
        <f>CEILING(AP24*Настройки!$O$15*A24*$U$4,Настройки!$Q$15)</f>
        <v>0</v>
      </c>
      <c r="W24" s="155"/>
      <c r="X24" s="156"/>
      <c r="Y24" s="333">
        <v>509.25</v>
      </c>
      <c r="Z24" s="333">
        <v>554.4</v>
      </c>
      <c r="AA24" s="333">
        <v>611.1</v>
      </c>
      <c r="AB24" s="333">
        <v>792.75</v>
      </c>
      <c r="AC24" s="333">
        <v>1037.4000000000001</v>
      </c>
      <c r="AD24" s="333">
        <v>1282.05</v>
      </c>
      <c r="AE24" s="333">
        <v>1611.75</v>
      </c>
      <c r="AF24" s="333">
        <v>1873.2</v>
      </c>
      <c r="AG24" s="333">
        <v>2234.4</v>
      </c>
      <c r="AH24" s="333">
        <v>2953.65</v>
      </c>
      <c r="AI24" s="333">
        <v>3580.5</v>
      </c>
      <c r="AJ24" s="333">
        <v>7710.1500000000005</v>
      </c>
      <c r="AK24" s="333">
        <v>11293.800000000001</v>
      </c>
      <c r="AL24" s="333">
        <v>15654.45</v>
      </c>
      <c r="AM24" s="333">
        <v>19249.650000000001</v>
      </c>
      <c r="AN24" s="333">
        <v>23399.25</v>
      </c>
      <c r="AO24" s="333">
        <v>26042.100000000002</v>
      </c>
      <c r="AP24" s="333">
        <v>37459.800000000003</v>
      </c>
      <c r="AR24" s="327"/>
      <c r="AS24" s="327"/>
      <c r="AT24" s="327"/>
      <c r="AU24" s="327"/>
      <c r="AV24" s="327"/>
      <c r="AW24" s="327"/>
      <c r="AX24" s="327"/>
      <c r="AY24" s="327"/>
      <c r="AZ24" s="327"/>
      <c r="BA24" s="327"/>
      <c r="BB24" s="327"/>
      <c r="BC24" s="327"/>
      <c r="BD24" s="327"/>
      <c r="BE24" s="327"/>
      <c r="BF24" s="327"/>
      <c r="BG24" s="327"/>
      <c r="BH24" s="327"/>
      <c r="BI24" s="327"/>
      <c r="BJ24" s="327"/>
      <c r="BK24" s="327"/>
      <c r="BL24" s="327"/>
    </row>
    <row r="25" spans="1:64" ht="15.75" thickBot="1">
      <c r="A25">
        <f>IF(B25=Печать!$A$29,1,0)*IF(C25=Печать!$C$29,1,0)*IF(B4=Печать!D29,1,0)</f>
        <v>0</v>
      </c>
      <c r="B25" s="153" t="s">
        <v>653</v>
      </c>
      <c r="C25" s="154" t="s">
        <v>644</v>
      </c>
      <c r="D25" s="165">
        <f>CEILING(Y25*Настройки!$O$15*A25*$D$4,Настройки!$Q$15)</f>
        <v>0</v>
      </c>
      <c r="E25" s="165">
        <f>CEILING(Z25*Настройки!$O$15*$A$6*$E$4,Настройки!$Q$15)</f>
        <v>0</v>
      </c>
      <c r="F25" s="165">
        <f>CEILING(AA25*Настройки!$O$15*A25*$F$4,Настройки!$Q$15)</f>
        <v>0</v>
      </c>
      <c r="G25" s="165">
        <f>CEILING(AB25*Настройки!$O$15*A25*$G$4,Настройки!$Q$15)</f>
        <v>0</v>
      </c>
      <c r="H25" s="165">
        <f>CEILING(AC25*Настройки!$O$15*A25*$H$4,Настройки!$Q$15)</f>
        <v>0</v>
      </c>
      <c r="I25" s="165">
        <f>CEILING(AD25*Настройки!$O$15*A25*$I$4,Настройки!$Q$15)</f>
        <v>0</v>
      </c>
      <c r="J25" s="165">
        <f>CEILING(AE25*Настройки!$O$15*A25*$J$4,Настройки!$Q$15)</f>
        <v>0</v>
      </c>
      <c r="K25" s="165">
        <f>CEILING(AF25*Настройки!$O$15*A25*$K$4,Настройки!$Q$15)</f>
        <v>0</v>
      </c>
      <c r="L25" s="165">
        <f>CEILING(AG25*Настройки!$O$15*A25*$L$4,Настройки!$Q$15)</f>
        <v>0</v>
      </c>
      <c r="M25" s="165">
        <f>CEILING(AH25*Настройки!$O$15*A25*$M$4,Настройки!$Q$15)</f>
        <v>0</v>
      </c>
      <c r="N25" s="165">
        <f>CEILING(AI25*Настройки!$O$15*A25*$N$4,Настройки!$Q$15)</f>
        <v>0</v>
      </c>
      <c r="O25" s="165">
        <f>CEILING(AJ25*Настройки!$O$15*A25*$O$4,Настройки!$Q$15)</f>
        <v>0</v>
      </c>
      <c r="P25" s="165">
        <f>CEILING(AK25*Настройки!$O$15*A25*$P$4,Настройки!$Q$15)</f>
        <v>0</v>
      </c>
      <c r="Q25" s="165">
        <f>CEILING(AL25*Настройки!$O$15*A25*$Q$4,Настройки!$Q$15)</f>
        <v>0</v>
      </c>
      <c r="R25" s="165">
        <f>CEILING(AM25*Настройки!$O$15*A25*$R$4,Настройки!$Q$15)</f>
        <v>0</v>
      </c>
      <c r="S25" s="165">
        <f>CEILING(AN25*Настройки!$O$15*A25*$S$4,Настройки!$Q$15)</f>
        <v>0</v>
      </c>
      <c r="T25" s="165">
        <f>CEILING(AO25*Настройки!$O$15*A25*$T$4,Настройки!$Q$15)</f>
        <v>0</v>
      </c>
      <c r="U25" s="165">
        <f>CEILING(AP25*Настройки!$O$15*A25*$U$4,Настройки!$Q$15)</f>
        <v>0</v>
      </c>
      <c r="W25" s="153" t="s">
        <v>653</v>
      </c>
      <c r="X25" s="154" t="s">
        <v>644</v>
      </c>
      <c r="Y25" s="333">
        <v>595.35</v>
      </c>
      <c r="Z25" s="333">
        <v>636.30000000000007</v>
      </c>
      <c r="AA25" s="333">
        <v>670.95</v>
      </c>
      <c r="AB25" s="333">
        <v>853.65000000000009</v>
      </c>
      <c r="AC25" s="333">
        <v>1097.25</v>
      </c>
      <c r="AD25" s="333">
        <v>1341.9</v>
      </c>
      <c r="AE25" s="333">
        <v>1668.45</v>
      </c>
      <c r="AF25" s="333">
        <v>2020.2</v>
      </c>
      <c r="AG25" s="333">
        <v>2421.3000000000002</v>
      </c>
      <c r="AH25" s="333">
        <v>3228.75</v>
      </c>
      <c r="AI25" s="333">
        <v>3931.2000000000003</v>
      </c>
      <c r="AJ25" s="333">
        <v>8566.9500000000007</v>
      </c>
      <c r="AK25" s="333">
        <v>12747</v>
      </c>
      <c r="AL25" s="333">
        <v>16707.600000000002</v>
      </c>
      <c r="AM25" s="333">
        <v>21557.55</v>
      </c>
      <c r="AN25" s="333">
        <v>28210.350000000002</v>
      </c>
      <c r="AO25" s="333">
        <v>33119.1</v>
      </c>
      <c r="AP25" s="333">
        <v>43309.35</v>
      </c>
      <c r="AR25" s="327"/>
      <c r="AS25" s="327"/>
      <c r="AT25" s="327"/>
      <c r="AU25" s="327"/>
      <c r="AV25" s="327"/>
      <c r="AW25" s="327"/>
      <c r="AX25" s="327"/>
      <c r="AY25" s="327"/>
      <c r="AZ25" s="327"/>
      <c r="BA25" s="327"/>
      <c r="BB25" s="327"/>
      <c r="BC25" s="327"/>
      <c r="BD25" s="327"/>
      <c r="BE25" s="327"/>
      <c r="BF25" s="327"/>
      <c r="BG25" s="327"/>
      <c r="BH25" s="327"/>
      <c r="BI25" s="327"/>
      <c r="BJ25" s="327"/>
      <c r="BK25" s="327"/>
      <c r="BL25" s="327"/>
    </row>
    <row r="26" spans="1:64" ht="15.75" thickBot="1">
      <c r="A26">
        <f>IF(B26=Печать!$A$29,1,0)*IF(C26=Печать!$C$29,1,0)*IF(B4=Печать!D29,1,0)</f>
        <v>0</v>
      </c>
      <c r="B26" s="155" t="s">
        <v>653</v>
      </c>
      <c r="C26" s="156" t="s">
        <v>646</v>
      </c>
      <c r="D26" s="165">
        <f>CEILING(Y26*Настройки!$O$15*A26*$D$4,Настройки!$Q$15)</f>
        <v>0</v>
      </c>
      <c r="E26" s="165">
        <f>CEILING(Z26*Настройки!$O$15*$A$6*$E$4,Настройки!$Q$15)</f>
        <v>0</v>
      </c>
      <c r="F26" s="165">
        <f>CEILING(AA26*Настройки!$O$15*A26*$F$4,Настройки!$Q$15)</f>
        <v>0</v>
      </c>
      <c r="G26" s="165">
        <f>CEILING(AB26*Настройки!$O$15*A26*$G$4,Настройки!$Q$15)</f>
        <v>0</v>
      </c>
      <c r="H26" s="165">
        <f>CEILING(AC26*Настройки!$O$15*A26*$H$4,Настройки!$Q$15)</f>
        <v>0</v>
      </c>
      <c r="I26" s="165">
        <f>CEILING(AD26*Настройки!$O$15*A26*$I$4,Настройки!$Q$15)</f>
        <v>0</v>
      </c>
      <c r="J26" s="165">
        <f>CEILING(AE26*Настройки!$O$15*A26*$J$4,Настройки!$Q$15)</f>
        <v>0</v>
      </c>
      <c r="K26" s="165">
        <f>CEILING(AF26*Настройки!$O$15*A26*$K$4,Настройки!$Q$15)</f>
        <v>0</v>
      </c>
      <c r="L26" s="165">
        <f>CEILING(AG26*Настройки!$O$15*A26*$L$4,Настройки!$Q$15)</f>
        <v>0</v>
      </c>
      <c r="M26" s="165">
        <f>CEILING(AH26*Настройки!$O$15*A26*$M$4,Настройки!$Q$15)</f>
        <v>0</v>
      </c>
      <c r="N26" s="165">
        <f>CEILING(AI26*Настройки!$O$15*A26*$N$4,Настройки!$Q$15)</f>
        <v>0</v>
      </c>
      <c r="O26" s="165">
        <f>CEILING(AJ26*Настройки!$O$15*A26*$O$4,Настройки!$Q$15)</f>
        <v>0</v>
      </c>
      <c r="P26" s="165">
        <f>CEILING(AK26*Настройки!$O$15*A26*$P$4,Настройки!$Q$15)</f>
        <v>0</v>
      </c>
      <c r="Q26" s="165">
        <f>CEILING(AL26*Настройки!$O$15*A26*$Q$4,Настройки!$Q$15)</f>
        <v>0</v>
      </c>
      <c r="R26" s="165">
        <f>CEILING(AM26*Настройки!$O$15*A26*$R$4,Настройки!$Q$15)</f>
        <v>0</v>
      </c>
      <c r="S26" s="165">
        <f>CEILING(AN26*Настройки!$O$15*A26*$S$4,Настройки!$Q$15)</f>
        <v>0</v>
      </c>
      <c r="T26" s="165">
        <f>CEILING(AO26*Настройки!$O$15*A26*$T$4,Настройки!$Q$15)</f>
        <v>0</v>
      </c>
      <c r="U26" s="165">
        <f>CEILING(AP26*Настройки!$O$15*A26*$U$4,Настройки!$Q$15)</f>
        <v>0</v>
      </c>
      <c r="W26" s="155" t="s">
        <v>653</v>
      </c>
      <c r="X26" s="156" t="s">
        <v>646</v>
      </c>
      <c r="Y26" s="333">
        <v>509.25</v>
      </c>
      <c r="Z26" s="333">
        <v>554.4</v>
      </c>
      <c r="AA26" s="333">
        <v>611.1</v>
      </c>
      <c r="AB26" s="333">
        <v>792.75</v>
      </c>
      <c r="AC26" s="333">
        <v>1037.4000000000001</v>
      </c>
      <c r="AD26" s="333">
        <v>1282.05</v>
      </c>
      <c r="AE26" s="333">
        <v>1611.75</v>
      </c>
      <c r="AF26" s="333">
        <v>1873.2</v>
      </c>
      <c r="AG26" s="333">
        <v>2234.4</v>
      </c>
      <c r="AH26" s="333">
        <v>2953.65</v>
      </c>
      <c r="AI26" s="333">
        <v>3580.5</v>
      </c>
      <c r="AJ26" s="333">
        <v>7710.1500000000005</v>
      </c>
      <c r="AK26" s="333">
        <v>11293.800000000001</v>
      </c>
      <c r="AL26" s="333">
        <v>15654.45</v>
      </c>
      <c r="AM26" s="333">
        <v>19249.650000000001</v>
      </c>
      <c r="AN26" s="333">
        <v>23399.25</v>
      </c>
      <c r="AO26" s="333">
        <v>26042.100000000002</v>
      </c>
      <c r="AP26" s="333">
        <v>37459.800000000003</v>
      </c>
      <c r="AR26" s="327"/>
      <c r="AS26" s="327"/>
      <c r="AT26" s="327"/>
      <c r="AU26" s="327"/>
      <c r="AV26" s="327"/>
      <c r="AW26" s="327"/>
      <c r="AX26" s="327"/>
      <c r="AY26" s="327"/>
      <c r="AZ26" s="327"/>
      <c r="BA26" s="327"/>
      <c r="BB26" s="327"/>
      <c r="BC26" s="327"/>
      <c r="BD26" s="327"/>
      <c r="BE26" s="327"/>
      <c r="BF26" s="327"/>
      <c r="BG26" s="327"/>
      <c r="BH26" s="327"/>
      <c r="BI26" s="327"/>
      <c r="BJ26" s="327"/>
      <c r="BK26" s="327"/>
      <c r="BL26" s="327"/>
    </row>
    <row r="27" spans="1:64" ht="15.75" thickBot="1">
      <c r="B27" s="171"/>
      <c r="C27" s="171"/>
      <c r="D27" s="171"/>
      <c r="E27" s="171"/>
      <c r="F27" s="171"/>
      <c r="G27" s="171"/>
      <c r="H27" s="171"/>
      <c r="I27" s="171"/>
      <c r="J27" s="171"/>
      <c r="K27" s="171"/>
      <c r="L27" s="171"/>
      <c r="M27" s="171"/>
      <c r="N27" s="171"/>
      <c r="O27" s="171"/>
      <c r="P27" s="171"/>
      <c r="Q27" s="171"/>
      <c r="R27" s="171"/>
      <c r="S27" s="171"/>
      <c r="T27" s="171"/>
      <c r="U27" s="147"/>
      <c r="W27" s="171"/>
      <c r="X27" s="171"/>
      <c r="Y27" s="327"/>
      <c r="Z27" s="327"/>
      <c r="AA27" s="327"/>
      <c r="AB27" s="327"/>
      <c r="AC27" s="327"/>
      <c r="AD27" s="327"/>
      <c r="AE27" s="327"/>
      <c r="AF27" s="327"/>
      <c r="AG27" s="327"/>
      <c r="AH27" s="327"/>
      <c r="AI27" s="327"/>
      <c r="AJ27" s="327"/>
      <c r="AK27" s="327"/>
      <c r="AL27" s="327"/>
      <c r="AM27" s="327"/>
      <c r="AN27" s="327"/>
      <c r="AO27" s="327"/>
      <c r="AP27" s="327"/>
      <c r="AS27" s="327"/>
      <c r="AT27" s="327"/>
      <c r="AU27" s="327"/>
      <c r="AV27" s="327"/>
      <c r="AW27" s="327"/>
      <c r="AX27" s="327"/>
      <c r="AY27" s="327"/>
      <c r="AZ27" s="327"/>
      <c r="BA27" s="327"/>
      <c r="BB27" s="327"/>
      <c r="BC27" s="327"/>
      <c r="BD27" s="327"/>
      <c r="BE27" s="327"/>
      <c r="BF27" s="327"/>
      <c r="BG27" s="327"/>
      <c r="BH27" s="327"/>
      <c r="BI27" s="327"/>
      <c r="BJ27" s="327"/>
      <c r="BK27" s="327"/>
      <c r="BL27" s="327"/>
    </row>
    <row r="28" spans="1:64" ht="15.75" thickBot="1">
      <c r="A28">
        <f>IF(B4=Печать!D29,1,0)</f>
        <v>1</v>
      </c>
      <c r="B28" s="160" t="s">
        <v>658</v>
      </c>
      <c r="C28" s="160"/>
      <c r="D28" s="160">
        <f>CEILING(Y28*Настройки!$O$15*IF(SUM(D6:D26)&gt;0,1,0),Настройки!$Q$15)*A28*H99</f>
        <v>0</v>
      </c>
      <c r="E28" s="160">
        <f>CEILING(Z28*Настройки!$O$15*IF(SUM(E6:E26)&gt;0,1,0),Настройки!$Q$15)*A28*H99</f>
        <v>0</v>
      </c>
      <c r="F28" s="160">
        <f>CEILING(AA28*H99*Настройки!$O$15*IF(SUM(F6:F26)&gt;0,1,0),Настройки!$Q$15)*A28*H99</f>
        <v>0</v>
      </c>
      <c r="G28" s="160">
        <f>CEILING(AB28*Настройки!$O$15*IF(SUM(G6:G26)&gt;0,1,0),Настройки!$Q$15)*A28*H99</f>
        <v>0</v>
      </c>
      <c r="H28" s="160">
        <f>CEILING(AC28*Настройки!$O$15*IF(SUM(H6:H26)&gt;0,1,0),Настройки!$Q$15)*A28*H99</f>
        <v>0</v>
      </c>
      <c r="I28" s="160">
        <f>CEILING(AD28*Настройки!$O$15*IF(SUM(I6:I26)&gt;0,1,0),Настройки!$Q$15)*A28*H99</f>
        <v>0</v>
      </c>
      <c r="J28" s="160">
        <f>CEILING(AE28*Настройки!$O$15*IF(SUM(J6:J26)&gt;0,1,0),Настройки!$Q$15)*A28*H99</f>
        <v>0</v>
      </c>
      <c r="K28" s="160">
        <f>CEILING(AF28*Настройки!$O$15*IF(SUM(K6:K26)&gt;0,1,0),Настройки!$Q$15)*A28*H99</f>
        <v>0</v>
      </c>
      <c r="L28" s="160">
        <f>CEILING(AG28*Настройки!$O$15*IF(SUM(L6:L26)&gt;0,1,0),Настройки!$Q$15)*A28*H99</f>
        <v>0</v>
      </c>
      <c r="M28" s="160">
        <f>CEILING(AH28*Настройки!$O$15*IF(SUM(M6:M26)&gt;0,1,0),Настройки!$Q$15)*A28*H99</f>
        <v>0</v>
      </c>
      <c r="N28" s="160">
        <f>CEILING(AI28*Настройки!$O$15*IF(SUM(N6:N26)&gt;0,1,0),Настройки!$Q$15)*A28*H99</f>
        <v>0</v>
      </c>
      <c r="O28" s="160">
        <f>CEILING(AJ28*Настройки!$O$15*IF(SUM(O6:O26)&gt;0,1,0),Настройки!$Q$15)*A28*H99</f>
        <v>0</v>
      </c>
      <c r="P28" s="160">
        <f>CEILING(AK28*Настройки!$O$15*IF(SUM(P6:P26)&gt;0,1,0),Настройки!$Q$15)*A28*H99</f>
        <v>0</v>
      </c>
      <c r="Q28" s="160">
        <f>CEILING(AL28*Настройки!$O$15*IF(SUM(Q6:Q26)&gt;0,1,0),Настройки!$Q$15)*A28*H99</f>
        <v>0</v>
      </c>
      <c r="R28" s="160">
        <f>CEILING(AM28*Настройки!$O$15*IF(SUM(R6:R26)&gt;0,1,0),Настройки!$Q$15)*A28*H99</f>
        <v>0</v>
      </c>
      <c r="S28" s="160">
        <f>CEILING(AN28*Настройки!$O$15*IF(SUM(S6:S26)&gt;0,1,0),Настройки!$Q$15)*A28*H99</f>
        <v>0</v>
      </c>
      <c r="T28" s="160">
        <f>CEILING(AO28*Настройки!$O$15*IF(SUM(T6:T26)&gt;0,1,0),Настройки!$Q$15)*A28*H99</f>
        <v>0</v>
      </c>
      <c r="U28" s="160">
        <f>CEILING(AP28*Настройки!$O$15*IF(SUM(U6:U26)&gt;0,1,0),Настройки!$Q$15)*A28*H99</f>
        <v>0</v>
      </c>
      <c r="W28" s="160" t="s">
        <v>658</v>
      </c>
      <c r="X28" s="160"/>
      <c r="Y28" s="333">
        <v>216.3</v>
      </c>
      <c r="Z28" s="333">
        <v>240.45000000000002</v>
      </c>
      <c r="AA28" s="333">
        <v>240.45000000000002</v>
      </c>
      <c r="AB28" s="333">
        <v>481.95000000000005</v>
      </c>
      <c r="AC28" s="333">
        <v>722.4</v>
      </c>
      <c r="AD28" s="333">
        <v>962.85</v>
      </c>
      <c r="AE28" s="333">
        <v>1204.3500000000001</v>
      </c>
      <c r="AF28" s="333">
        <v>1444.8</v>
      </c>
      <c r="AG28" s="333">
        <v>1636.95</v>
      </c>
      <c r="AH28" s="333">
        <v>1926.75</v>
      </c>
      <c r="AI28" s="333">
        <v>1926.75</v>
      </c>
      <c r="AJ28" s="333">
        <v>2696.4</v>
      </c>
      <c r="AK28" s="333">
        <v>3426.15</v>
      </c>
      <c r="AL28" s="333">
        <v>4133.8500000000004</v>
      </c>
      <c r="AM28" s="333">
        <v>4841.55</v>
      </c>
      <c r="AN28" s="333">
        <v>5586</v>
      </c>
      <c r="AO28" s="333">
        <v>7001.4000000000005</v>
      </c>
      <c r="AP28" s="333">
        <v>8416.8000000000011</v>
      </c>
      <c r="AR28" s="327"/>
      <c r="AS28" s="327"/>
      <c r="AT28" s="327"/>
      <c r="AU28" s="327"/>
      <c r="AV28" s="327"/>
      <c r="AW28" s="327"/>
      <c r="AX28" s="327"/>
      <c r="AY28" s="327"/>
      <c r="AZ28" s="327"/>
      <c r="BA28" s="327"/>
      <c r="BB28" s="327"/>
      <c r="BC28" s="327"/>
      <c r="BD28" s="327"/>
      <c r="BE28" s="327"/>
      <c r="BF28" s="327"/>
      <c r="BG28" s="327"/>
      <c r="BH28" s="327"/>
      <c r="BI28" s="327"/>
      <c r="BJ28" s="327"/>
      <c r="BK28" s="327"/>
      <c r="BL28" s="327"/>
    </row>
    <row r="29" spans="1:64" ht="15.75" thickBot="1">
      <c r="B29" s="160" t="s">
        <v>654</v>
      </c>
      <c r="C29" s="160"/>
      <c r="D29" s="160">
        <f>CEILING(Y29*Настройки!$O$15*IF(SUM(D6:D26)&gt;0,1,0),Настройки!$Q$15)*A28*H100</f>
        <v>0</v>
      </c>
      <c r="E29" s="160">
        <f>CEILING(Z29*Настройки!$O$15*IF(SUM(E6:E26)&gt;0,1,0),Настройки!$Q$15)*A28*H100</f>
        <v>0</v>
      </c>
      <c r="F29" s="160">
        <f>CEILING(AA29*Настройки!$O$15*IF(SUM(F6:F26)&gt;0,1,0),Настройки!$Q$15)*A28*H100</f>
        <v>0</v>
      </c>
      <c r="G29" s="160">
        <f>CEILING(AB29*Настройки!$O$15*IF(SUM(G6:G26)&gt;0,1,0),Настройки!$Q$15)*A28*H100</f>
        <v>0</v>
      </c>
      <c r="H29" s="160">
        <f>CEILING(AC29*Настройки!$O$15*IF(SUM(H6:H26)&gt;0,1,0),Настройки!$Q$15)*A28*H100</f>
        <v>0</v>
      </c>
      <c r="I29" s="160">
        <f>CEILING(AD29*Настройки!$O$15*IF(SUM(I6:I26)&gt;0,1,0),Настройки!$Q$15)*A28*H100</f>
        <v>0</v>
      </c>
      <c r="J29" s="160">
        <f>CEILING(AE29*Настройки!$O$15*IF(SUM(J6:J26)&gt;0,1,0),Настройки!$Q$15)*A28*H100</f>
        <v>0</v>
      </c>
      <c r="K29" s="160">
        <f>CEILING(AF29*Настройки!$O$15*IF(SUM(K6:K26)&gt;0,1,0),Настройки!$Q$15)*A28*H100</f>
        <v>0</v>
      </c>
      <c r="L29" s="160">
        <f>CEILING(AG29*Настройки!$O$15*IF(SUM(L6:L26)&gt;0,1,0),Настройки!$Q$15)*A28*H100</f>
        <v>0</v>
      </c>
      <c r="M29" s="160">
        <f>CEILING(AH29*Настройки!$O$15*IF(SUM(M6:M26)&gt;0,1,0),Настройки!$Q$15)*A28*H100</f>
        <v>0</v>
      </c>
      <c r="N29" s="160">
        <f>CEILING(AI29*Настройки!$O$15*IF(SUM(N6:N26)&gt;0,1,0),Настройки!$Q$15)*A28*H100</f>
        <v>0</v>
      </c>
      <c r="O29" s="160">
        <f>CEILING(AJ29*Настройки!$O$15*IF(SUM(O6:O26)&gt;0,1,0),Настройки!$Q$15)*A28*H100</f>
        <v>0</v>
      </c>
      <c r="P29" s="160">
        <f>CEILING(AK29*Настройки!$O$15*IF(SUM(P6:P26)&gt;0,1,0),Настройки!$Q$15)*A28*H100</f>
        <v>0</v>
      </c>
      <c r="Q29" s="160">
        <f>CEILING(AL29*Настройки!$O$15*IF(SUM(Q6:Q26)&gt;0,1,0),Настройки!$Q$15)*A28*H100</f>
        <v>0</v>
      </c>
      <c r="R29" s="160">
        <f>CEILING(AM29*Настройки!$O$15*IF(SUM(R6:R26)&gt;0,1,0),Настройки!$Q$15)*A28*H100</f>
        <v>0</v>
      </c>
      <c r="S29" s="160">
        <f>CEILING(AN29*Настройки!$O$15*IF(SUM(S6:S26)&gt;0,1,0),Настройки!$Q$15)*A28*H100</f>
        <v>0</v>
      </c>
      <c r="T29" s="160">
        <f>CEILING(AO29*Настройки!$O$15*IF(SUM(T6:T26)&gt;0,1,0),Настройки!$Q$15)*A28*H100</f>
        <v>0</v>
      </c>
      <c r="U29" s="160">
        <f>CEILING(AP29*Настройки!$O$15*IF(SUM(U6:U26)&gt;0,1,0),Настройки!$Q$15)*A28*H100</f>
        <v>0</v>
      </c>
      <c r="W29" s="160" t="s">
        <v>654</v>
      </c>
      <c r="X29" s="160"/>
      <c r="Y29" s="333">
        <v>433.65000000000003</v>
      </c>
      <c r="Z29" s="333">
        <v>481.95000000000005</v>
      </c>
      <c r="AA29" s="333">
        <v>481.95000000000005</v>
      </c>
      <c r="AB29" s="333">
        <v>722.4</v>
      </c>
      <c r="AC29" s="333">
        <v>962.85</v>
      </c>
      <c r="AD29" s="333">
        <v>1444.8</v>
      </c>
      <c r="AE29" s="333">
        <v>1685.25</v>
      </c>
      <c r="AF29" s="333">
        <v>1926.75</v>
      </c>
      <c r="AG29" s="333">
        <v>2312.1</v>
      </c>
      <c r="AH29" s="333">
        <v>3081.75</v>
      </c>
      <c r="AI29" s="333">
        <v>3081.75</v>
      </c>
      <c r="AJ29" s="333">
        <v>5393.85</v>
      </c>
      <c r="AK29" s="333">
        <v>6235.8864120000007</v>
      </c>
      <c r="AL29" s="333">
        <v>6770.7012240000004</v>
      </c>
      <c r="AM29" s="333">
        <v>7951.6374839999999</v>
      </c>
      <c r="AN29" s="333">
        <v>9171.9382860000023</v>
      </c>
      <c r="AO29" s="333">
        <v>11533.810806000001</v>
      </c>
      <c r="AP29" s="333">
        <v>13777.5897</v>
      </c>
      <c r="AR29" s="327"/>
      <c r="AS29" s="327"/>
      <c r="AT29" s="327"/>
      <c r="AU29" s="327"/>
      <c r="AV29" s="327"/>
      <c r="AW29" s="327"/>
      <c r="AX29" s="327"/>
      <c r="AY29" s="327"/>
      <c r="AZ29" s="327"/>
      <c r="BA29" s="327"/>
      <c r="BB29" s="327"/>
      <c r="BC29" s="327"/>
      <c r="BD29" s="327"/>
      <c r="BE29" s="327"/>
      <c r="BF29" s="327"/>
      <c r="BG29" s="327"/>
      <c r="BH29" s="327"/>
      <c r="BI29" s="327"/>
      <c r="BJ29" s="327"/>
      <c r="BK29" s="327"/>
      <c r="BL29" s="327"/>
    </row>
    <row r="30" spans="1:64" ht="15.75" thickBot="1">
      <c r="B30" s="160" t="s">
        <v>655</v>
      </c>
      <c r="C30" s="160"/>
      <c r="D30" s="160">
        <f>CEILING(Y30*Настройки!$O$15*IF(SUM(D6:D26)&gt;0,1,0),Настройки!$Q$15)*A28*J100</f>
        <v>0</v>
      </c>
      <c r="E30" s="160">
        <f>CEILING(Z30*Настройки!$O$15*IF(SUM(E6:E26)&gt;0,1,0),Настройки!$Q$15)*A28*J100</f>
        <v>0</v>
      </c>
      <c r="F30" s="160">
        <f>CEILING(AA30*Настройки!$O$15*IF(SUM(F6:F26)&gt;0,1,0),Настройки!$Q$15)*A28*J100</f>
        <v>0</v>
      </c>
      <c r="G30" s="160">
        <f>CEILING(AB30*Настройки!$O$15*IF(SUM(G6:G26)&gt;0,1,0),Настройки!$Q$15)*A28*J100</f>
        <v>0</v>
      </c>
      <c r="H30" s="160">
        <f>CEILING(AC30*Настройки!$O$15*IF(SUM(H6:H26)&gt;0,1,0),Настройки!$Q$15)*A28*J100</f>
        <v>0</v>
      </c>
      <c r="I30" s="160">
        <f>CEILING(AD30*Настройки!$O$15*IF(SUM(I6:I26)&gt;0,1,0),Настройки!$Q$15)*A28*J100</f>
        <v>0</v>
      </c>
      <c r="J30" s="160">
        <f>CEILING(AE30*Настройки!$O$15*IF(SUM(J6:J26)&gt;0,1,0),Настройки!$Q$15)*A28*J100</f>
        <v>0</v>
      </c>
      <c r="K30" s="160">
        <f>CEILING(AF30*Настройки!$O$15*IF(SUM(K6:K26)&gt;0,1,0),Настройки!$Q$15)*A28*J100</f>
        <v>0</v>
      </c>
      <c r="L30" s="160">
        <f>CEILING(AG30*Настройки!$O$15*IF(SUM(L6:L26)&gt;0,1,0),Настройки!$Q$15)*A28*J100</f>
        <v>0</v>
      </c>
      <c r="M30" s="160">
        <f>CEILING(AH30*Настройки!$O$15*IF(SUM(M6:M26)&gt;0,1,0),Настройки!$Q$15)*A28*J100</f>
        <v>0</v>
      </c>
      <c r="N30" s="160">
        <f>CEILING(AI30*Настройки!$O$15*IF(SUM(N6:N26)&gt;0,1,0),Настройки!$Q$15)*A28*J100</f>
        <v>0</v>
      </c>
      <c r="O30" s="160">
        <f>CEILING(AJ30*Настройки!$O$15*IF(SUM(O6:O26)&gt;0,1,0),Настройки!$Q$15)*A28*J100</f>
        <v>0</v>
      </c>
      <c r="P30" s="160">
        <f>CEILING(AK30*Настройки!$O$15*IF(SUM(P6:P26)&gt;0,1,0),Настройки!$Q$15)*A28*J100</f>
        <v>0</v>
      </c>
      <c r="Q30" s="160">
        <f>CEILING(AL30*Настройки!$O$15*IF(SUM(Q6:Q26)&gt;0,1,0),Настройки!$Q$15)*A28*J100</f>
        <v>0</v>
      </c>
      <c r="R30" s="160">
        <f>CEILING(AM30*Настройки!$O$15*IF(SUM(R6:R26)&gt;0,1,0),Настройки!$Q$15)*A28*J100</f>
        <v>0</v>
      </c>
      <c r="S30" s="160">
        <f>CEILING(AN30*Настройки!$O$15*IF(SUM(S6:S26)&gt;0,1,0),Настройки!$Q$15)*A28*J100</f>
        <v>0</v>
      </c>
      <c r="T30" s="160">
        <f>CEILING(AO30*Настройки!$O$15*IF(SUM(T6:T26)&gt;0,1,0),Настройки!$Q$15)*A28*J100</f>
        <v>0</v>
      </c>
      <c r="U30" s="160">
        <f>CEILING(AP30*Настройки!$O$15*IF(SUM(U6:U26)&gt;0,1,0),Настройки!$Q$15)*A28*J100</f>
        <v>0</v>
      </c>
      <c r="W30" s="160" t="s">
        <v>655</v>
      </c>
      <c r="X30" s="160"/>
      <c r="Y30" s="333">
        <v>233.10000000000002</v>
      </c>
      <c r="Z30" s="333">
        <v>233.10000000000002</v>
      </c>
      <c r="AA30" s="333">
        <v>233.10000000000002</v>
      </c>
      <c r="AB30" s="333">
        <v>233.10000000000002</v>
      </c>
      <c r="AC30" s="333">
        <v>465.15000000000003</v>
      </c>
      <c r="AD30" s="333">
        <v>698.25</v>
      </c>
      <c r="AE30" s="333">
        <v>931.35</v>
      </c>
      <c r="AF30" s="333">
        <v>1163.4000000000001</v>
      </c>
      <c r="AG30" s="333">
        <v>1396.5</v>
      </c>
      <c r="AH30" s="333">
        <v>1861.65</v>
      </c>
      <c r="AI30" s="333">
        <v>2327.85</v>
      </c>
      <c r="AJ30" s="333">
        <v>4655.7</v>
      </c>
      <c r="AK30" s="333">
        <v>7825.6500000000005</v>
      </c>
      <c r="AL30" s="333">
        <v>9631.65</v>
      </c>
      <c r="AM30" s="333">
        <v>11571</v>
      </c>
      <c r="AN30" s="333">
        <v>13885.2</v>
      </c>
      <c r="AO30" s="333">
        <v>18513.600000000002</v>
      </c>
      <c r="AP30" s="333">
        <v>23142</v>
      </c>
      <c r="AR30" s="327"/>
      <c r="AS30" s="327"/>
      <c r="AT30" s="327"/>
      <c r="AU30" s="327"/>
      <c r="AV30" s="327"/>
      <c r="AW30" s="327"/>
      <c r="AX30" s="327"/>
      <c r="AY30" s="327"/>
      <c r="AZ30" s="327"/>
      <c r="BA30" s="327"/>
      <c r="BB30" s="327"/>
      <c r="BC30" s="327"/>
      <c r="BD30" s="327"/>
      <c r="BE30" s="327"/>
      <c r="BF30" s="327"/>
      <c r="BG30" s="327"/>
      <c r="BH30" s="327"/>
      <c r="BI30" s="327"/>
      <c r="BJ30" s="327"/>
      <c r="BK30" s="327"/>
      <c r="BL30" s="327"/>
    </row>
    <row r="31" spans="1:64" ht="15.75" thickBot="1">
      <c r="B31" s="160" t="s">
        <v>656</v>
      </c>
      <c r="C31" s="160"/>
      <c r="D31" s="160">
        <f>CEILING(Y31*Настройки!$O$15*IF(SUM(D6:D26)&gt;0,1,0),Настройки!$Q$15)*A28*J101</f>
        <v>0</v>
      </c>
      <c r="E31" s="160">
        <f>CEILING(Z31*Настройки!$O$15*IF(SUM(E6:E26)&gt;0,1,0),Настройки!$Q$15)*A28*J101</f>
        <v>0</v>
      </c>
      <c r="F31" s="160">
        <f>CEILING(AA31*Настройки!$O$15*IF(SUM(F6:F26)&gt;0,1,0),Настройки!$Q$15)*A28*J101</f>
        <v>0</v>
      </c>
      <c r="G31" s="160">
        <f>CEILING(AB31*Настройки!$O$15*IF(SUM(G6:G26)&gt;0,1,0),Настройки!$Q$15)*A28*J101</f>
        <v>0</v>
      </c>
      <c r="H31" s="160">
        <f>CEILING(AC31*Настройки!$O$15*IF(SUM(H6:H26)&gt;0,1,0),Настройки!$Q$15)*A28*J101</f>
        <v>0</v>
      </c>
      <c r="I31" s="160">
        <f>CEILING(AD31*Настройки!$O$15*IF(SUM(I6:I26)&gt;0,1,0),Настройки!$Q$15)*A28*J101</f>
        <v>0</v>
      </c>
      <c r="J31" s="160">
        <f>CEILING(AE31*Настройки!$O$15*IF(SUM(J6:J26)&gt;0,1,0),Настройки!$Q$15)*A28*J101</f>
        <v>0</v>
      </c>
      <c r="K31" s="160">
        <f>CEILING(AF31*Настройки!$O$15*IF(SUM(K6:K26)&gt;0,1,0),Настройки!$Q$15)*A28*J101</f>
        <v>0</v>
      </c>
      <c r="L31" s="160">
        <f>CEILING(AG31*Настройки!$O$15*IF(SUM(L6:L26)&gt;0,1,0),Настройки!$Q$15)*A28*J101</f>
        <v>0</v>
      </c>
      <c r="M31" s="160">
        <f>CEILING(AH31*Настройки!$O$15*IF(SUM(M6:M26)&gt;0,1,0),Настройки!$Q$15)*A28*J101</f>
        <v>0</v>
      </c>
      <c r="N31" s="160">
        <f>CEILING(AI31*Настройки!$O$15*IF(SUM(N6:N26)&gt;0,1,0),Настройки!$Q$15)*A28*J101</f>
        <v>0</v>
      </c>
      <c r="O31" s="160">
        <f>CEILING(AJ31*Настройки!$O$15*IF(SUM(O6:O26)&gt;0,1,0),Настройки!$Q$15)*A28*J101</f>
        <v>0</v>
      </c>
      <c r="P31" s="160">
        <f>CEILING(AK31*Настройки!$O$15*IF(SUM(P6:P26)&gt;0,1,0),Настройки!$Q$15)*A28*J101</f>
        <v>0</v>
      </c>
      <c r="Q31" s="160">
        <f>CEILING(AL31*Настройки!$O$15*IF(SUM(Q6:Q26)&gt;0,1,0),Настройки!$Q$15)*A28*J101</f>
        <v>0</v>
      </c>
      <c r="R31" s="160">
        <f>CEILING(AM31*Настройки!$O$15*IF(SUM(R6:R26)&gt;0,1,0),Настройки!$Q$15)*A28*J101</f>
        <v>0</v>
      </c>
      <c r="S31" s="160">
        <f>CEILING(AN31*Настройки!$O$15*IF(SUM(S6:S26)&gt;0,1,0),Настройки!$Q$15)*A28*J101</f>
        <v>0</v>
      </c>
      <c r="T31" s="160">
        <f>CEILING(AO31*Настройки!$O$15*IF(SUM(T6:T26)&gt;0,1,0),Настройки!$Q$15)*A28*J101</f>
        <v>0</v>
      </c>
      <c r="U31" s="160">
        <f>CEILING(AP31*Настройки!$O$15*IF(SUM(U6:U26)&gt;0,1,0),Настройки!$Q$15)*A28*J101</f>
        <v>0</v>
      </c>
      <c r="W31" s="160" t="s">
        <v>656</v>
      </c>
      <c r="X31" s="160"/>
      <c r="Y31" s="333">
        <v>484.59108600000002</v>
      </c>
      <c r="Z31" s="333">
        <v>538.88700600000004</v>
      </c>
      <c r="AA31" s="333">
        <v>633.90486600000008</v>
      </c>
      <c r="AB31" s="333">
        <v>791.36303399999986</v>
      </c>
      <c r="AC31" s="333">
        <v>1108.994166</v>
      </c>
      <c r="AD31" s="333">
        <v>1425.2679000000003</v>
      </c>
      <c r="AE31" s="333">
        <v>1741.5416340000002</v>
      </c>
      <c r="AF31" s="333">
        <v>2059.1727660000001</v>
      </c>
      <c r="AG31" s="333">
        <v>2375.4465</v>
      </c>
      <c r="AH31" s="333">
        <v>3009.3513660000003</v>
      </c>
      <c r="AI31" s="333">
        <v>3641.8988340000005</v>
      </c>
      <c r="AJ31" s="333">
        <v>6356.6948340000008</v>
      </c>
      <c r="AK31" s="333">
        <v>8551.6074000000008</v>
      </c>
      <c r="AL31" s="333">
        <v>10327.083984000001</v>
      </c>
      <c r="AM31" s="333">
        <v>11650.547034000001</v>
      </c>
      <c r="AN31" s="333">
        <v>12521.996550000002</v>
      </c>
      <c r="AO31" s="333">
        <v>14972.099940000002</v>
      </c>
      <c r="AP31" s="333">
        <v>18645.218928000002</v>
      </c>
      <c r="AR31" s="327"/>
      <c r="AS31" s="327"/>
      <c r="AT31" s="327"/>
      <c r="AU31" s="327"/>
      <c r="AV31" s="327"/>
      <c r="AW31" s="327"/>
      <c r="AX31" s="327"/>
      <c r="AY31" s="327"/>
      <c r="AZ31" s="327"/>
      <c r="BA31" s="327"/>
      <c r="BB31" s="327"/>
      <c r="BC31" s="327"/>
      <c r="BD31" s="327"/>
      <c r="BE31" s="327"/>
      <c r="BF31" s="327"/>
      <c r="BG31" s="327"/>
      <c r="BH31" s="327"/>
      <c r="BI31" s="327"/>
      <c r="BJ31" s="327"/>
      <c r="BK31" s="327"/>
      <c r="BL31" s="327"/>
    </row>
    <row r="32" spans="1:64" ht="15.75" thickBot="1">
      <c r="B32" s="160" t="s">
        <v>290</v>
      </c>
      <c r="C32" s="160"/>
      <c r="D32" s="160">
        <f>CEILING(Y32*Настройки!$O$15*IF(SUM(D6:D26)&gt;0,1,0),Настройки!$Q$15)*A28*J102</f>
        <v>0</v>
      </c>
      <c r="E32" s="160">
        <f>CEILING(Z32*Настройки!$O$15*IF(SUM(E6:E26)&gt;0,1,0),Настройки!$Q$15)*A28*J102</f>
        <v>0</v>
      </c>
      <c r="F32" s="160">
        <f>CEILING(AA32*Настройки!$O$15*IF(SUM(F6:F26)&gt;0,1,0),Настройки!$Q$15)*A28*J102</f>
        <v>0</v>
      </c>
      <c r="G32" s="160">
        <f>CEILING(AB32*Настройки!$O$15*IF(SUM(G6:G26)&gt;0,1,0),Настройки!$Q$15)*A28*J102</f>
        <v>0</v>
      </c>
      <c r="H32" s="160">
        <f>CEILING(AC32*Настройки!$O$15*IF(SUM(H6:H26)&gt;0,1,0),Настройки!$Q$15)*A28*J102</f>
        <v>0</v>
      </c>
      <c r="I32" s="160">
        <f>CEILING(AD32*Настройки!$O$15*IF(SUM(I6:I26)&gt;0,1,0),Настройки!$Q$15)*A28*J102</f>
        <v>0</v>
      </c>
      <c r="J32" s="160">
        <f>CEILING(AE32*Настройки!$O$15*IF(SUM(J6:J26)&gt;0,1,0),Настройки!$Q$15)*A28*J102</f>
        <v>0</v>
      </c>
      <c r="K32" s="160">
        <f>CEILING(AF32*Настройки!$O$15*IF(SUM(K6:K26)&gt;0,1,0),Настройки!$Q$15)*A28*J102</f>
        <v>0</v>
      </c>
      <c r="L32" s="160">
        <f>CEILING(AG32*Настройки!$O$15*IF(SUM(L6:L26)&gt;0,1,0),Настройки!$Q$15)*A28*J102</f>
        <v>0</v>
      </c>
      <c r="M32" s="160">
        <f>CEILING(AH32*Настройки!$O$15*IF(SUM(M6:M26)&gt;0,1,0),Настройки!$Q$15)*A28*J102</f>
        <v>0</v>
      </c>
      <c r="N32" s="160">
        <f>CEILING(AI32*Настройки!$O$15*IF(SUM(N6:N26)&gt;0,1,0),Настройки!$Q$15)*A28*J102</f>
        <v>0</v>
      </c>
      <c r="O32" s="160">
        <f>CEILING(AJ32*Настройки!$O$15*IF(SUM(O6:O26)&gt;0,1,0),Настройки!$Q$15)*A28*J102</f>
        <v>0</v>
      </c>
      <c r="P32" s="160">
        <f>CEILING(AK32*Настройки!$O$15*IF(SUM(P6:P26)&gt;0,1,0),Настройки!$Q$15)*A28*J102</f>
        <v>0</v>
      </c>
      <c r="Q32" s="160">
        <f>CEILING(AL32*Настройки!$O$15*IF(SUM(Q6:Q26)&gt;0,1,0),Настройки!$Q$15)*A28*J102</f>
        <v>0</v>
      </c>
      <c r="R32" s="160">
        <f>CEILING(AM32*Настройки!$O$15*IF(SUM(R6:R26)&gt;0,1,0),Настройки!$Q$15)*A28*J102</f>
        <v>0</v>
      </c>
      <c r="S32" s="160">
        <f>CEILING(AN32*Настройки!$O$15*IF(SUM(S6:S26)&gt;0,1,0),Настройки!$Q$15)*A28*J102</f>
        <v>0</v>
      </c>
      <c r="T32" s="160">
        <f>CEILING(AO32*Настройки!$O$15*IF(SUM(T6:T26)&gt;0,1,0),Настройки!$Q$15)*A28*J102</f>
        <v>0</v>
      </c>
      <c r="U32" s="160">
        <f>CEILING(AP32*Настройки!$O$15*IF(SUM(U6:U26)&gt;0,1,0),Настройки!$Q$15)*A28*J102</f>
        <v>0</v>
      </c>
      <c r="W32" s="160" t="s">
        <v>290</v>
      </c>
      <c r="X32" s="160"/>
      <c r="Y32" s="333">
        <v>418.95000000000005</v>
      </c>
      <c r="Z32" s="333">
        <v>465.15000000000003</v>
      </c>
      <c r="AA32" s="333">
        <v>465.15000000000003</v>
      </c>
      <c r="AB32" s="333">
        <v>558.6</v>
      </c>
      <c r="AC32" s="333">
        <v>931.35</v>
      </c>
      <c r="AD32" s="333">
        <v>1396.5</v>
      </c>
      <c r="AE32" s="333">
        <v>1861.65</v>
      </c>
      <c r="AF32" s="333">
        <v>2327.85</v>
      </c>
      <c r="AG32" s="333">
        <v>2793</v>
      </c>
      <c r="AH32" s="333">
        <v>3724.3500000000004</v>
      </c>
      <c r="AI32" s="333">
        <v>4655.7</v>
      </c>
      <c r="AJ32" s="333">
        <v>9324</v>
      </c>
      <c r="AK32" s="333">
        <v>13966.050000000001</v>
      </c>
      <c r="AL32" s="333">
        <v>18637.5</v>
      </c>
      <c r="AM32" s="333">
        <v>23289</v>
      </c>
      <c r="AN32" s="333">
        <v>27932.100000000002</v>
      </c>
      <c r="AO32" s="333">
        <v>37243.5</v>
      </c>
      <c r="AP32" s="333">
        <v>46553.85</v>
      </c>
      <c r="AR32" s="327"/>
      <c r="AS32" s="327"/>
      <c r="AT32" s="327"/>
      <c r="AU32" s="327"/>
      <c r="AV32" s="327"/>
      <c r="AW32" s="327"/>
      <c r="AX32" s="327"/>
      <c r="AY32" s="327"/>
      <c r="AZ32" s="327"/>
      <c r="BA32" s="327"/>
      <c r="BB32" s="327"/>
      <c r="BC32" s="327"/>
      <c r="BD32" s="327"/>
      <c r="BE32" s="327"/>
      <c r="BF32" s="327"/>
      <c r="BG32" s="327"/>
      <c r="BH32" s="327"/>
      <c r="BI32" s="327"/>
      <c r="BJ32" s="327"/>
      <c r="BK32" s="327"/>
      <c r="BL32" s="327"/>
    </row>
    <row r="33" spans="1:55">
      <c r="B33" s="172" t="s">
        <v>642</v>
      </c>
      <c r="C33" s="172"/>
      <c r="D33" s="149">
        <v>100</v>
      </c>
      <c r="E33" s="149">
        <v>200</v>
      </c>
      <c r="F33" s="149">
        <v>500</v>
      </c>
      <c r="G33" s="149">
        <v>1000</v>
      </c>
      <c r="H33" s="149">
        <v>2000</v>
      </c>
      <c r="I33" s="149">
        <v>3000</v>
      </c>
      <c r="J33" s="149">
        <v>4000</v>
      </c>
      <c r="K33" s="149">
        <v>5000</v>
      </c>
      <c r="L33" s="149">
        <v>6000</v>
      </c>
      <c r="M33" s="149">
        <v>8000</v>
      </c>
      <c r="N33" s="149">
        <v>10000</v>
      </c>
      <c r="O33" s="149">
        <v>20000</v>
      </c>
      <c r="P33" s="149">
        <v>30000</v>
      </c>
      <c r="Q33" s="149">
        <v>40000</v>
      </c>
      <c r="R33" s="149">
        <v>50000</v>
      </c>
      <c r="S33" s="149">
        <v>60000</v>
      </c>
      <c r="T33" s="149">
        <v>80000</v>
      </c>
      <c r="U33" s="149">
        <v>100000</v>
      </c>
      <c r="W33" s="172" t="s">
        <v>642</v>
      </c>
      <c r="X33" s="172"/>
      <c r="Y33" s="149">
        <v>100</v>
      </c>
      <c r="Z33" s="149">
        <v>200</v>
      </c>
      <c r="AA33" s="149">
        <v>500</v>
      </c>
      <c r="AB33" s="149">
        <v>1000</v>
      </c>
      <c r="AC33" s="149">
        <v>2000</v>
      </c>
      <c r="AD33" s="149">
        <v>3000</v>
      </c>
      <c r="AE33" s="149">
        <v>4000</v>
      </c>
      <c r="AF33" s="149">
        <v>5000</v>
      </c>
      <c r="AG33" s="149">
        <v>6000</v>
      </c>
      <c r="AH33" s="149">
        <v>8000</v>
      </c>
      <c r="AI33" s="149">
        <v>10000</v>
      </c>
      <c r="AJ33" s="149">
        <v>20000</v>
      </c>
      <c r="AK33" s="149">
        <v>30000</v>
      </c>
      <c r="AL33" s="149">
        <v>40000</v>
      </c>
      <c r="AM33" s="149">
        <v>50000</v>
      </c>
      <c r="AN33" s="149">
        <v>60000</v>
      </c>
      <c r="AO33" s="149">
        <v>80000</v>
      </c>
      <c r="AP33" s="149">
        <v>100000</v>
      </c>
    </row>
    <row r="34" spans="1:55">
      <c r="B34" s="173">
        <v>170</v>
      </c>
      <c r="C34" s="173">
        <f>SUM(D36:O56)</f>
        <v>0</v>
      </c>
      <c r="D34" s="149">
        <f>IF(D35=Печать!$B$29,1,0)</f>
        <v>0</v>
      </c>
      <c r="E34" s="149">
        <f>IF(E35=Печать!$B$29,1,0)</f>
        <v>0</v>
      </c>
      <c r="F34" s="149">
        <f>IF(F35=Печать!$B$29,1,0)</f>
        <v>1</v>
      </c>
      <c r="G34" s="149">
        <f>IF(G35=Печать!$B$29,1,0)</f>
        <v>0</v>
      </c>
      <c r="H34" s="149">
        <f>IF(H35=Печать!$B$29,1,0)</f>
        <v>0</v>
      </c>
      <c r="I34" s="149">
        <f>IF(I35=Печать!$B$29,1,0)</f>
        <v>0</v>
      </c>
      <c r="J34" s="149">
        <f>IF(J35=Печать!$B$29,1,0)</f>
        <v>0</v>
      </c>
      <c r="K34" s="149">
        <f>IF(K35=Печать!$B$29,1,0)</f>
        <v>0</v>
      </c>
      <c r="L34" s="149">
        <f>IF(L35=Печать!$B$29,1,0)</f>
        <v>0</v>
      </c>
      <c r="M34" s="149">
        <f>IF(M35=Печать!$B$29,1,0)</f>
        <v>0</v>
      </c>
      <c r="N34" s="149">
        <f>IF(N35=Печать!$B$29,1,0)</f>
        <v>0</v>
      </c>
      <c r="O34" s="149">
        <f>IF(O35=Печать!$B$29,1,0)</f>
        <v>0</v>
      </c>
      <c r="P34" s="149"/>
      <c r="Q34" s="149"/>
      <c r="R34" s="149"/>
      <c r="S34" s="149"/>
      <c r="T34" s="149"/>
      <c r="U34" s="149"/>
      <c r="W34" s="173"/>
      <c r="X34" s="173"/>
      <c r="Y34" s="149"/>
      <c r="Z34" s="149"/>
      <c r="AA34" s="149"/>
      <c r="AB34" s="149"/>
      <c r="AC34" s="149"/>
      <c r="AD34" s="149"/>
      <c r="AE34" s="149"/>
      <c r="AF34" s="149"/>
      <c r="AG34" s="149"/>
      <c r="AH34" s="149"/>
      <c r="AI34" s="149"/>
      <c r="AJ34" s="149"/>
      <c r="AK34" s="149"/>
      <c r="AL34" s="149"/>
      <c r="AM34" s="149"/>
      <c r="AN34" s="149"/>
      <c r="AO34" s="149"/>
      <c r="AP34" s="149"/>
    </row>
    <row r="35" spans="1:55">
      <c r="B35" s="148" t="s">
        <v>642</v>
      </c>
      <c r="C35" s="149"/>
      <c r="F35" s="149">
        <v>500</v>
      </c>
      <c r="G35" s="149">
        <v>1000</v>
      </c>
      <c r="H35" s="149">
        <v>2000</v>
      </c>
      <c r="I35" s="149">
        <v>3000</v>
      </c>
      <c r="J35" s="149">
        <v>4000</v>
      </c>
      <c r="K35" s="149">
        <v>5000</v>
      </c>
      <c r="L35" s="149">
        <v>6000</v>
      </c>
      <c r="M35" s="149">
        <v>8000</v>
      </c>
      <c r="N35" s="149">
        <v>10000</v>
      </c>
      <c r="O35" s="149">
        <v>20000</v>
      </c>
      <c r="W35" s="148" t="s">
        <v>642</v>
      </c>
      <c r="X35" s="149"/>
      <c r="AA35" s="149">
        <v>500</v>
      </c>
      <c r="AB35" s="149">
        <v>1000</v>
      </c>
      <c r="AC35" s="149">
        <v>2000</v>
      </c>
      <c r="AD35" s="149">
        <v>3000</v>
      </c>
      <c r="AE35" s="149">
        <v>4000</v>
      </c>
      <c r="AF35" s="149">
        <v>5000</v>
      </c>
      <c r="AG35" s="149">
        <v>6000</v>
      </c>
      <c r="AH35" s="149">
        <v>8000</v>
      </c>
      <c r="AI35" s="149">
        <v>10000</v>
      </c>
      <c r="AJ35" s="149">
        <v>20000</v>
      </c>
    </row>
    <row r="36" spans="1:55" ht="15.75" thickBot="1">
      <c r="A36">
        <f>IF(B36=Печать!$A$29,1,0)*IF(C36=Печать!$C$29,1,0)*IF($B$34=Печать!$D$29,1,0)</f>
        <v>0</v>
      </c>
      <c r="B36" s="150" t="s">
        <v>643</v>
      </c>
      <c r="C36" s="154" t="s">
        <v>644</v>
      </c>
      <c r="D36">
        <f>CEILING(Y36*Настройки!$O$15*A36*$D$34,Настройки!$Q$15)</f>
        <v>0</v>
      </c>
      <c r="E36">
        <f>CEILING(Z36*Настройки!$O$15*A36*E$34,Настройки!$Q$15)</f>
        <v>0</v>
      </c>
      <c r="F36">
        <f>CEILING(AA36*Настройки!$O$15*A36*F$34,Настройки!$Q$15)</f>
        <v>0</v>
      </c>
      <c r="G36">
        <f>CEILING(AB36*Настройки!$O$15*A36*G$34,Настройки!$Q$15)</f>
        <v>0</v>
      </c>
      <c r="H36">
        <f>CEILING(AC36*Настройки!$O$15*A36*H$34,Настройки!$Q$15)</f>
        <v>0</v>
      </c>
      <c r="I36">
        <f>CEILING(AD36*Настройки!$O$15*A36*I$34,Настройки!$Q$15)</f>
        <v>0</v>
      </c>
      <c r="J36">
        <f>CEILING(AE36*Настройки!$O$15*A36*J$34,Настройки!$Q$15)</f>
        <v>0</v>
      </c>
      <c r="K36">
        <f>CEILING(AF36*Настройки!$O$15*A36*K$34,Настройки!$Q$15)</f>
        <v>0</v>
      </c>
      <c r="L36">
        <f>CEILING(AG36*Настройки!$O$15*A36*L$34,Настройки!$Q$15)</f>
        <v>0</v>
      </c>
      <c r="M36">
        <f>CEILING(AH36*Настройки!$O$15*A36*M$34,Настройки!$Q$15)</f>
        <v>0</v>
      </c>
      <c r="N36">
        <f>CEILING(AI36*Настройки!$O$15*A36*N$34,Настройки!$Q$15)</f>
        <v>0</v>
      </c>
      <c r="O36">
        <f>CEILING(AJ36*Настройки!$O$15*A36*O$34,Настройки!$Q$15)</f>
        <v>0</v>
      </c>
      <c r="W36" s="150" t="s">
        <v>643</v>
      </c>
      <c r="X36" s="151">
        <v>3</v>
      </c>
      <c r="AA36" s="335">
        <v>8592.15</v>
      </c>
      <c r="AB36" s="335">
        <v>9044.7000000000007</v>
      </c>
      <c r="AC36" s="336">
        <v>14030.1</v>
      </c>
      <c r="AD36" s="336">
        <v>18610.2</v>
      </c>
      <c r="AE36" s="336">
        <v>21519.75</v>
      </c>
      <c r="AF36" s="336">
        <v>27031.200000000001</v>
      </c>
      <c r="AG36" s="336">
        <v>31566.15</v>
      </c>
      <c r="AH36" s="336">
        <v>39614.400000000001</v>
      </c>
      <c r="AI36" s="336">
        <v>51988.65</v>
      </c>
      <c r="AJ36" s="336">
        <v>84565.95</v>
      </c>
    </row>
    <row r="37" spans="1:55" ht="15.75" thickBot="1">
      <c r="A37">
        <f>IF(B37=Печать!$A$29,1,0)*IF(C37=Печать!$C$29,1,0)*IF($B$34=Печать!$D$29,1,0)</f>
        <v>0</v>
      </c>
      <c r="B37" s="153" t="s">
        <v>645</v>
      </c>
      <c r="C37" s="154" t="s">
        <v>644</v>
      </c>
      <c r="D37">
        <f>CEILING(Y37*Настройки!$O$15*A37*$D$34,Настройки!$Q$15)</f>
        <v>0</v>
      </c>
      <c r="E37">
        <f>CEILING(Z37*Настройки!$O$15*A37*E$34,Настройки!$Q$15)</f>
        <v>0</v>
      </c>
      <c r="F37">
        <f>CEILING(AA37*Настройки!$O$15*A37*F$34,Настройки!$Q$15)</f>
        <v>0</v>
      </c>
      <c r="G37">
        <f>CEILING(AB37*Настройки!$O$15*A37*G$34,Настройки!$Q$15)</f>
        <v>0</v>
      </c>
      <c r="H37">
        <f>CEILING(AC37*Настройки!$O$15*A37*H$34,Настройки!$Q$15)</f>
        <v>0</v>
      </c>
      <c r="I37">
        <f>CEILING(AD37*Настройки!$O$15*A37*I$34,Настройки!$Q$15)</f>
        <v>0</v>
      </c>
      <c r="J37">
        <f>CEILING(AE37*Настройки!$O$15*A37*J$34,Настройки!$Q$15)</f>
        <v>0</v>
      </c>
      <c r="K37">
        <f>CEILING(AF37*Настройки!$O$15*A37*K$34,Настройки!$Q$15)</f>
        <v>0</v>
      </c>
      <c r="L37">
        <f>CEILING(AG37*Настройки!$O$15*A37*L$34,Настройки!$Q$15)</f>
        <v>0</v>
      </c>
      <c r="M37">
        <f>CEILING(AH37*Настройки!$O$15*A37*M$34,Настройки!$Q$15)</f>
        <v>0</v>
      </c>
      <c r="N37">
        <f>CEILING(AI37*Настройки!$O$15*A37*N$34,Настройки!$Q$15)</f>
        <v>0</v>
      </c>
      <c r="O37">
        <f>CEILING(AJ37*Настройки!$O$15*A37*O$34,Настройки!$Q$15)</f>
        <v>0</v>
      </c>
      <c r="W37" s="153" t="s">
        <v>645</v>
      </c>
      <c r="X37" s="154" t="s">
        <v>644</v>
      </c>
      <c r="AA37" s="334">
        <v>13150.2</v>
      </c>
      <c r="AB37" s="334">
        <v>15384.6</v>
      </c>
      <c r="AC37" s="334">
        <v>20636.7</v>
      </c>
      <c r="AD37" s="334">
        <v>24562.65</v>
      </c>
      <c r="AE37" s="334">
        <v>29083.95</v>
      </c>
      <c r="AF37" s="334">
        <v>41335.35</v>
      </c>
      <c r="AG37" s="334">
        <v>46234.65</v>
      </c>
      <c r="AH37" s="334">
        <v>56037.450000000004</v>
      </c>
      <c r="AI37" s="334">
        <v>70542.150000000009</v>
      </c>
      <c r="AJ37" s="334">
        <v>131684.70000000001</v>
      </c>
      <c r="BC37" s="327"/>
    </row>
    <row r="38" spans="1:55" ht="15.75" thickBot="1">
      <c r="A38">
        <f>IF(B38=Печать!$A$29,1,0)*IF(C38=Печать!$C$29,1,0)*IF($B$34=Печать!$D$29,1,0)</f>
        <v>0</v>
      </c>
      <c r="B38" s="155" t="s">
        <v>645</v>
      </c>
      <c r="C38" s="156" t="s">
        <v>646</v>
      </c>
      <c r="D38">
        <f>CEILING(Y38*Настройки!$O$15*A38*$D$34,Настройки!$Q$15)</f>
        <v>0</v>
      </c>
      <c r="E38">
        <f>CEILING(Z38*Настройки!$O$15*A38*E$34,Настройки!$Q$15)</f>
        <v>0</v>
      </c>
      <c r="F38">
        <f>CEILING(AA38*Настройки!$O$15*A38*F$34,Настройки!$Q$15)</f>
        <v>0</v>
      </c>
      <c r="G38">
        <f>CEILING(AB38*Настройки!$O$15*A38*G$34,Настройки!$Q$15)</f>
        <v>0</v>
      </c>
      <c r="H38">
        <f>CEILING(AC38*Настройки!$O$15*A38*H$34,Настройки!$Q$15)</f>
        <v>0</v>
      </c>
      <c r="I38">
        <f>CEILING(AD38*Настройки!$O$15*A38*I$34,Настройки!$Q$15)</f>
        <v>0</v>
      </c>
      <c r="J38">
        <f>CEILING(AE38*Настройки!$O$15*A38*J$34,Настройки!$Q$15)</f>
        <v>0</v>
      </c>
      <c r="K38">
        <f>CEILING(AF38*Настройки!$O$15*A38*K$34,Настройки!$Q$15)</f>
        <v>0</v>
      </c>
      <c r="L38">
        <f>CEILING(AG38*Настройки!$O$15*A38*L$34,Настройки!$Q$15)</f>
        <v>0</v>
      </c>
      <c r="M38">
        <f>CEILING(AH38*Настройки!$O$15*A38*M$34,Настройки!$Q$15)</f>
        <v>0</v>
      </c>
      <c r="N38">
        <f>CEILING(AI38*Настройки!$O$15*A38*N$34,Настройки!$Q$15)</f>
        <v>0</v>
      </c>
      <c r="O38">
        <f>CEILING(AJ38*Настройки!$O$15*A38*O$34,Настройки!$Q$15)</f>
        <v>0</v>
      </c>
      <c r="W38" s="155" t="s">
        <v>645</v>
      </c>
      <c r="X38" s="156" t="s">
        <v>646</v>
      </c>
      <c r="AA38" s="334">
        <v>12586.35</v>
      </c>
      <c r="AB38" s="334">
        <v>14726.25</v>
      </c>
      <c r="AC38" s="334">
        <v>17955</v>
      </c>
      <c r="AD38" s="334">
        <v>21738.15</v>
      </c>
      <c r="AE38" s="334">
        <v>24966.9</v>
      </c>
      <c r="AF38" s="334">
        <v>35464.800000000003</v>
      </c>
      <c r="AG38" s="334">
        <v>39874.800000000003</v>
      </c>
      <c r="AH38" s="334">
        <v>48695.85</v>
      </c>
      <c r="AI38" s="334">
        <v>61623.450000000004</v>
      </c>
      <c r="AJ38" s="334">
        <v>113361.15000000001</v>
      </c>
      <c r="BC38" s="327"/>
    </row>
    <row r="39" spans="1:55" ht="15.75" thickBot="1">
      <c r="A39">
        <f>IF(B39=Печать!$A$29,1,0)*IF(C39=Печать!$C$29,1,0)*IF($B$34=Печать!$D$29,1,0)</f>
        <v>0</v>
      </c>
      <c r="B39" s="153" t="s">
        <v>647</v>
      </c>
      <c r="C39" s="154" t="s">
        <v>644</v>
      </c>
      <c r="D39">
        <f>CEILING(Y39*Настройки!$O$15*A39*$D$34,Настройки!$Q$15)</f>
        <v>0</v>
      </c>
      <c r="E39">
        <f>CEILING(Z39*Настройки!$O$15*A39*E$34,Настройки!$Q$15)</f>
        <v>0</v>
      </c>
      <c r="F39">
        <f>CEILING(AA39*Настройки!$O$15*A39*F$34,Настройки!$Q$15)</f>
        <v>0</v>
      </c>
      <c r="G39">
        <f>CEILING(AB39*Настройки!$O$15*A39*G$34,Настройки!$Q$15)</f>
        <v>0</v>
      </c>
      <c r="H39">
        <f>CEILING(AC39*Настройки!$O$15*A39*H$34,Настройки!$Q$15)</f>
        <v>0</v>
      </c>
      <c r="I39">
        <f>CEILING(AD39*Настройки!$O$15*A39*I$34,Настройки!$Q$15)</f>
        <v>0</v>
      </c>
      <c r="J39">
        <f>CEILING(AE39*Настройки!$O$15*A39*J$34,Настройки!$Q$15)</f>
        <v>0</v>
      </c>
      <c r="K39">
        <f>CEILING(AF39*Настройки!$O$15*A39*K$34,Настройки!$Q$15)</f>
        <v>0</v>
      </c>
      <c r="L39">
        <f>CEILING(AG39*Настройки!$O$15*A39*L$34,Настройки!$Q$15)</f>
        <v>0</v>
      </c>
      <c r="M39">
        <f>CEILING(AH39*Настройки!$O$15*A39*M$34,Настройки!$Q$15)</f>
        <v>0</v>
      </c>
      <c r="N39">
        <f>CEILING(AI39*Настройки!$O$15*A39*N$34,Настройки!$Q$15)</f>
        <v>0</v>
      </c>
      <c r="O39">
        <f>CEILING(AJ39*Настройки!$O$15*A39*O$34,Настройки!$Q$15)</f>
        <v>0</v>
      </c>
      <c r="W39" s="153" t="s">
        <v>647</v>
      </c>
      <c r="X39" s="154" t="s">
        <v>644</v>
      </c>
      <c r="AA39" s="334">
        <v>6227.55</v>
      </c>
      <c r="AB39" s="334">
        <v>6680.1</v>
      </c>
      <c r="AC39" s="334">
        <v>9300.9</v>
      </c>
      <c r="AD39" s="334">
        <v>11516.4</v>
      </c>
      <c r="AE39" s="334">
        <v>14395.5</v>
      </c>
      <c r="AF39" s="334">
        <v>18828.600000000002</v>
      </c>
      <c r="AG39" s="334">
        <v>22982.400000000001</v>
      </c>
      <c r="AH39" s="334">
        <v>29184.75</v>
      </c>
      <c r="AI39" s="334">
        <v>38106.6</v>
      </c>
      <c r="AJ39" s="334">
        <v>66582.600000000006</v>
      </c>
      <c r="BC39" s="327"/>
    </row>
    <row r="40" spans="1:55" ht="15.75" thickBot="1">
      <c r="A40">
        <f>IF(B40=Печать!$A$29,1,0)*IF(C40=Печать!$C$29,1,0)*IF($B$34=Печать!$D$29,1,0)</f>
        <v>0</v>
      </c>
      <c r="B40" s="155" t="s">
        <v>647</v>
      </c>
      <c r="C40" s="156" t="s">
        <v>646</v>
      </c>
      <c r="D40">
        <f>CEILING(Y40*Настройки!$O$15*A40*$D$34,Настройки!$Q$15)</f>
        <v>0</v>
      </c>
      <c r="E40">
        <f>CEILING(Z40*Настройки!$O$15*A40*E$34,Настройки!$Q$15)</f>
        <v>0</v>
      </c>
      <c r="F40">
        <f>CEILING(AA40*Настройки!$O$15*A40*F$34,Настройки!$Q$15)</f>
        <v>0</v>
      </c>
      <c r="G40">
        <f>CEILING(AB40*Настройки!$O$15*A40*G$34,Настройки!$Q$15)</f>
        <v>0</v>
      </c>
      <c r="H40">
        <f>CEILING(AC40*Настройки!$O$15*A40*H$34,Настройки!$Q$15)</f>
        <v>0</v>
      </c>
      <c r="I40">
        <f>CEILING(AD40*Настройки!$O$15*A40*I$34,Настройки!$Q$15)</f>
        <v>0</v>
      </c>
      <c r="J40">
        <f>CEILING(AE40*Настройки!$O$15*A40*J$34,Настройки!$Q$15)</f>
        <v>0</v>
      </c>
      <c r="K40">
        <f>CEILING(AF40*Настройки!$O$15*A40*K$34,Настройки!$Q$15)</f>
        <v>0</v>
      </c>
      <c r="L40">
        <f>CEILING(AG40*Настройки!$O$15*A40*L$34,Настройки!$Q$15)</f>
        <v>0</v>
      </c>
      <c r="M40">
        <f>CEILING(AH40*Настройки!$O$15*A40*M$34,Настройки!$Q$15)</f>
        <v>0</v>
      </c>
      <c r="N40">
        <f>CEILING(AI40*Настройки!$O$15*A40*N$34,Настройки!$Q$15)</f>
        <v>0</v>
      </c>
      <c r="O40">
        <f>CEILING(AJ40*Настройки!$O$15*A40*O$34,Настройки!$Q$15)</f>
        <v>0</v>
      </c>
      <c r="W40" s="155" t="s">
        <v>647</v>
      </c>
      <c r="X40" s="156" t="s">
        <v>646</v>
      </c>
      <c r="AA40" s="334">
        <v>5660.55</v>
      </c>
      <c r="AB40" s="334">
        <v>6395.55</v>
      </c>
      <c r="AC40" s="334">
        <v>8589</v>
      </c>
      <c r="AD40" s="334">
        <v>10363.5</v>
      </c>
      <c r="AE40" s="334">
        <v>13531.35</v>
      </c>
      <c r="AF40" s="334">
        <v>18407.55</v>
      </c>
      <c r="AG40" s="334">
        <v>20649.3</v>
      </c>
      <c r="AH40" s="334">
        <v>25130.7</v>
      </c>
      <c r="AI40" s="334">
        <v>31885.350000000002</v>
      </c>
      <c r="AJ40" s="334">
        <v>57538.950000000004</v>
      </c>
      <c r="BC40" s="327"/>
    </row>
    <row r="41" spans="1:55" ht="15.75" thickBot="1">
      <c r="A41">
        <f>IF(B41=Печать!$A$29,1,0)*IF(C41=Печать!$C$29,1,0)*IF($B$34=Печать!$D$29,1,0)</f>
        <v>0</v>
      </c>
      <c r="B41" s="153" t="s">
        <v>648</v>
      </c>
      <c r="C41" s="154" t="s">
        <v>644</v>
      </c>
      <c r="D41">
        <f>CEILING(Y41*Настройки!$O$15*A41*$D$34,Настройки!$Q$15)</f>
        <v>0</v>
      </c>
      <c r="E41">
        <f>CEILING(Z41*Настройки!$O$15*A41*E$34,Настройки!$Q$15)</f>
        <v>0</v>
      </c>
      <c r="F41">
        <f>CEILING(AA41*Настройки!$O$15*A41*F$34,Настройки!$Q$15)</f>
        <v>0</v>
      </c>
      <c r="G41">
        <f>CEILING(AB41*Настройки!$O$15*A41*G$34,Настройки!$Q$15)</f>
        <v>0</v>
      </c>
      <c r="H41">
        <f>CEILING(AC41*Настройки!$O$15*A41*H$34,Настройки!$Q$15)</f>
        <v>0</v>
      </c>
      <c r="I41">
        <f>CEILING(AD41*Настройки!$O$15*A41*I$34,Настройки!$Q$15)</f>
        <v>0</v>
      </c>
      <c r="J41">
        <f>CEILING(AE41*Настройки!$O$15*A41*J$34,Настройки!$Q$15)</f>
        <v>0</v>
      </c>
      <c r="K41">
        <f>CEILING(AF41*Настройки!$O$15*A41*K$34,Настройки!$Q$15)</f>
        <v>0</v>
      </c>
      <c r="L41">
        <f>CEILING(AG41*Настройки!$O$15*A41*L$34,Настройки!$Q$15)</f>
        <v>0</v>
      </c>
      <c r="M41">
        <f>CEILING(AH41*Настройки!$O$15*A41*M$34,Настройки!$Q$15)</f>
        <v>0</v>
      </c>
      <c r="N41">
        <f>CEILING(AI41*Настройки!$O$15*A41*N$34,Настройки!$Q$15)</f>
        <v>0</v>
      </c>
      <c r="O41">
        <f>CEILING(AJ41*Настройки!$O$15*A41*O$34,Настройки!$Q$15)</f>
        <v>0</v>
      </c>
      <c r="W41" s="153" t="s">
        <v>648</v>
      </c>
      <c r="X41" s="154" t="s">
        <v>644</v>
      </c>
      <c r="AA41" s="334">
        <v>3141.6</v>
      </c>
      <c r="AB41" s="334">
        <v>3852.4500000000003</v>
      </c>
      <c r="AC41" s="334">
        <v>5380.2</v>
      </c>
      <c r="AD41" s="334">
        <v>6513.1500000000005</v>
      </c>
      <c r="AE41" s="334">
        <v>7647.1500000000005</v>
      </c>
      <c r="AF41" s="334">
        <v>9119.25</v>
      </c>
      <c r="AG41" s="334">
        <v>10285.800000000001</v>
      </c>
      <c r="AH41" s="334">
        <v>12792.15</v>
      </c>
      <c r="AI41" s="334">
        <v>15630.300000000001</v>
      </c>
      <c r="AJ41" s="334">
        <v>28891.800000000003</v>
      </c>
      <c r="BC41" s="327"/>
    </row>
    <row r="42" spans="1:55" ht="15.75" thickBot="1">
      <c r="A42">
        <f>IF(B42=Печать!$A$29,1,0)*IF(C42=Печать!$C$29,1,0)*IF($B$34=Печать!$D$29,1,0)</f>
        <v>0</v>
      </c>
      <c r="B42" s="155" t="s">
        <v>648</v>
      </c>
      <c r="C42" s="156" t="s">
        <v>646</v>
      </c>
      <c r="D42">
        <f>CEILING(Y42*Настройки!$O$15*A42*$D$34,Настройки!$Q$15)</f>
        <v>0</v>
      </c>
      <c r="E42">
        <f>CEILING(Z42*Настройки!$O$15*A42*E$34,Настройки!$Q$15)</f>
        <v>0</v>
      </c>
      <c r="F42">
        <f>CEILING(AA42*Настройки!$O$15*A42*F$34,Настройки!$Q$15)</f>
        <v>0</v>
      </c>
      <c r="G42">
        <f>CEILING(AB42*Настройки!$O$15*A42*G$34,Настройки!$Q$15)</f>
        <v>0</v>
      </c>
      <c r="H42">
        <f>CEILING(AC42*Настройки!$O$15*A42*H$34,Настройки!$Q$15)</f>
        <v>0</v>
      </c>
      <c r="I42">
        <f>CEILING(AD42*Настройки!$O$15*A42*I$34,Настройки!$Q$15)</f>
        <v>0</v>
      </c>
      <c r="J42">
        <f>CEILING(AE42*Настройки!$O$15*A42*J$34,Настройки!$Q$15)</f>
        <v>0</v>
      </c>
      <c r="K42">
        <f>CEILING(AF42*Настройки!$O$15*A42*K$34,Настройки!$Q$15)</f>
        <v>0</v>
      </c>
      <c r="L42">
        <f>CEILING(AG42*Настройки!$O$15*A42*L$34,Настройки!$Q$15)</f>
        <v>0</v>
      </c>
      <c r="M42">
        <f>CEILING(AH42*Настройки!$O$15*A42*M$34,Настройки!$Q$15)</f>
        <v>0</v>
      </c>
      <c r="N42">
        <f>CEILING(AI42*Настройки!$O$15*A42*N$34,Настройки!$Q$15)</f>
        <v>0</v>
      </c>
      <c r="O42">
        <f>CEILING(AJ42*Настройки!$O$15*A42*O$34,Настройки!$Q$15)</f>
        <v>0</v>
      </c>
      <c r="W42" s="155" t="s">
        <v>648</v>
      </c>
      <c r="X42" s="156" t="s">
        <v>646</v>
      </c>
      <c r="AA42" s="334">
        <v>2857.05</v>
      </c>
      <c r="AB42" s="334">
        <v>3643.5</v>
      </c>
      <c r="AC42" s="334">
        <v>4813.2</v>
      </c>
      <c r="AD42" s="334">
        <v>5664.75</v>
      </c>
      <c r="AE42" s="334">
        <v>6795.6</v>
      </c>
      <c r="AF42" s="334">
        <v>7943.25</v>
      </c>
      <c r="AG42" s="334">
        <v>9213.75</v>
      </c>
      <c r="AH42" s="334">
        <v>11645.550000000001</v>
      </c>
      <c r="AI42" s="334">
        <v>14473.2</v>
      </c>
      <c r="AJ42" s="334">
        <v>26265.75</v>
      </c>
      <c r="BC42" s="327"/>
    </row>
    <row r="43" spans="1:55" ht="15.75" thickBot="1">
      <c r="A43">
        <f>IF(B43=Печать!$A$29,1,0)*IF(C43=Печать!$C$29,1,0)*IF($B$34=Печать!$D$29,1,0)</f>
        <v>0</v>
      </c>
      <c r="B43" s="153" t="s">
        <v>649</v>
      </c>
      <c r="C43" s="154" t="s">
        <v>644</v>
      </c>
      <c r="D43">
        <f>CEILING(Y43*Настройки!$O$15*A43*$D$34,Настройки!$Q$15)</f>
        <v>0</v>
      </c>
      <c r="E43">
        <f>CEILING(Z43*Настройки!$O$15*A43*E$34,Настройки!$Q$15)</f>
        <v>0</v>
      </c>
      <c r="F43">
        <f>CEILING(AA43*Настройки!$O$15*A43*F$34,Настройки!$Q$15)</f>
        <v>0</v>
      </c>
      <c r="G43">
        <f>CEILING(AB43*Настройки!$O$15*A43*G$34,Настройки!$Q$15)</f>
        <v>0</v>
      </c>
      <c r="H43">
        <f>CEILING(AC43*Настройки!$O$15*A43*H$34,Настройки!$Q$15)</f>
        <v>0</v>
      </c>
      <c r="I43">
        <f>CEILING(AD43*Настройки!$O$15*A43*I$34,Настройки!$Q$15)</f>
        <v>0</v>
      </c>
      <c r="J43">
        <f>CEILING(AE43*Настройки!$O$15*A43*J$34,Настройки!$Q$15)</f>
        <v>0</v>
      </c>
      <c r="K43">
        <f>CEILING(AF43*Настройки!$O$15*A43*K$34,Настройки!$Q$15)</f>
        <v>0</v>
      </c>
      <c r="L43">
        <f>CEILING(AG43*Настройки!$O$15*A43*L$34,Настройки!$Q$15)</f>
        <v>0</v>
      </c>
      <c r="M43">
        <f>CEILING(AH43*Настройки!$O$15*A43*M$34,Настройки!$Q$15)</f>
        <v>0</v>
      </c>
      <c r="N43">
        <f>CEILING(AI43*Настройки!$O$15*A43*N$34,Настройки!$Q$15)</f>
        <v>0</v>
      </c>
      <c r="O43">
        <f>CEILING(AJ43*Настройки!$O$15*A43*O$34,Настройки!$Q$15)</f>
        <v>0</v>
      </c>
      <c r="W43" s="153" t="s">
        <v>649</v>
      </c>
      <c r="X43" s="154" t="s">
        <v>644</v>
      </c>
      <c r="AA43" s="334">
        <v>1600.2</v>
      </c>
      <c r="AB43" s="334">
        <v>2284.8000000000002</v>
      </c>
      <c r="AC43" s="334">
        <v>3232.9500000000003</v>
      </c>
      <c r="AD43" s="334">
        <v>3964.8</v>
      </c>
      <c r="AE43" s="334">
        <v>4247.25</v>
      </c>
      <c r="AF43" s="334">
        <v>5000.1000000000004</v>
      </c>
      <c r="AG43" s="334">
        <v>5766.6</v>
      </c>
      <c r="AH43" s="334">
        <v>7295.4000000000005</v>
      </c>
      <c r="AI43" s="334">
        <v>9018.4500000000007</v>
      </c>
      <c r="AJ43" s="334">
        <v>16065</v>
      </c>
      <c r="BC43" s="327"/>
    </row>
    <row r="44" spans="1:55" ht="15.75" thickBot="1">
      <c r="A44">
        <f>IF(B44=Печать!$A$29,1,0)*IF(C44=Печать!$C$29,1,0)*IF($B$34=Печать!$D$29,1,0)</f>
        <v>0</v>
      </c>
      <c r="B44" s="155" t="s">
        <v>649</v>
      </c>
      <c r="C44" s="156" t="s">
        <v>646</v>
      </c>
      <c r="D44">
        <f>CEILING(Y44*Настройки!$O$15*A44*$D$34,Настройки!$Q$15)</f>
        <v>0</v>
      </c>
      <c r="E44">
        <f>CEILING(Z44*Настройки!$O$15*A44*E$34,Настройки!$Q$15)</f>
        <v>0</v>
      </c>
      <c r="F44">
        <f>CEILING(AA44*Настройки!$O$15*A44*F$34,Настройки!$Q$15)</f>
        <v>0</v>
      </c>
      <c r="G44">
        <f>CEILING(AB44*Настройки!$O$15*A44*G$34,Настройки!$Q$15)</f>
        <v>0</v>
      </c>
      <c r="H44">
        <f>CEILING(AC44*Настройки!$O$15*A44*H$34,Настройки!$Q$15)</f>
        <v>0</v>
      </c>
      <c r="I44">
        <f>CEILING(AD44*Настройки!$O$15*A44*I$34,Настройки!$Q$15)</f>
        <v>0</v>
      </c>
      <c r="J44">
        <f>CEILING(AE44*Настройки!$O$15*A44*J$34,Настройки!$Q$15)</f>
        <v>0</v>
      </c>
      <c r="K44">
        <f>CEILING(AF44*Настройки!$O$15*A44*K$34,Настройки!$Q$15)</f>
        <v>0</v>
      </c>
      <c r="L44">
        <f>CEILING(AG44*Настройки!$O$15*A44*L$34,Настройки!$Q$15)</f>
        <v>0</v>
      </c>
      <c r="M44">
        <f>CEILING(AH44*Настройки!$O$15*A44*M$34,Настройки!$Q$15)</f>
        <v>0</v>
      </c>
      <c r="N44">
        <f>CEILING(AI44*Настройки!$O$15*A44*N$34,Настройки!$Q$15)</f>
        <v>0</v>
      </c>
      <c r="O44">
        <f>CEILING(AJ44*Настройки!$O$15*A44*O$34,Настройки!$Q$15)</f>
        <v>0</v>
      </c>
      <c r="W44" s="155" t="s">
        <v>649</v>
      </c>
      <c r="X44" s="156" t="s">
        <v>646</v>
      </c>
      <c r="AA44" s="190">
        <v>1426.95</v>
      </c>
      <c r="AB44" s="334">
        <v>1713.6000000000001</v>
      </c>
      <c r="AC44" s="334">
        <v>2641.8</v>
      </c>
      <c r="AD44" s="334">
        <v>3526.9500000000003</v>
      </c>
      <c r="AE44" s="334">
        <v>3964.8</v>
      </c>
      <c r="AF44" s="334">
        <v>4412.1000000000004</v>
      </c>
      <c r="AG44" s="334">
        <v>5236.3500000000004</v>
      </c>
      <c r="AH44" s="334">
        <v>6884.85</v>
      </c>
      <c r="AI44" s="334">
        <v>8716.0500000000011</v>
      </c>
      <c r="AJ44" s="334">
        <v>14875.35</v>
      </c>
      <c r="BC44" s="327"/>
    </row>
    <row r="45" spans="1:55" ht="15.75" thickBot="1">
      <c r="A45">
        <f>IF(B45=Печать!$A$29,1,0)*IF(C45=Печать!$C$29,1,0)*IF($B$34=Печать!$D$29,1,0)</f>
        <v>0</v>
      </c>
      <c r="B45" s="153" t="s">
        <v>20</v>
      </c>
      <c r="C45" s="154" t="s">
        <v>644</v>
      </c>
      <c r="D45">
        <f>CEILING(Y45*Настройки!$O$15*A45*$D$34,Настройки!$Q$15)</f>
        <v>0</v>
      </c>
      <c r="E45">
        <f>CEILING(Z45*Настройки!$O$15*A45*E$34,Настройки!$Q$15)</f>
        <v>0</v>
      </c>
      <c r="F45">
        <f>CEILING(AA45*Настройки!$O$15*A45*F$34,Настройки!$Q$15)</f>
        <v>0</v>
      </c>
      <c r="G45">
        <f>CEILING(AB45*Настройки!$O$15*A45*G$34,Настройки!$Q$15)</f>
        <v>0</v>
      </c>
      <c r="H45">
        <f>CEILING(AC45*Настройки!$O$15*A45*H$34,Настройки!$Q$15)</f>
        <v>0</v>
      </c>
      <c r="I45">
        <f>CEILING(AD45*Настройки!$O$15*A45*I$34,Настройки!$Q$15)</f>
        <v>0</v>
      </c>
      <c r="J45">
        <f>CEILING(AE45*Настройки!$O$15*A45*J$34,Настройки!$Q$15)</f>
        <v>0</v>
      </c>
      <c r="K45">
        <f>CEILING(AF45*Настройки!$O$15*A45*K$34,Настройки!$Q$15)</f>
        <v>0</v>
      </c>
      <c r="L45">
        <f>CEILING(AG45*Настройки!$O$15*A45*L$34,Настройки!$Q$15)</f>
        <v>0</v>
      </c>
      <c r="M45">
        <f>CEILING(AH45*Настройки!$O$15*A45*M$34,Настройки!$Q$15)</f>
        <v>0</v>
      </c>
      <c r="N45">
        <f>CEILING(AI45*Настройки!$O$15*A45*N$34,Настройки!$Q$15)</f>
        <v>0</v>
      </c>
      <c r="O45">
        <f>CEILING(AJ45*Настройки!$O$15*A45*O$34,Настройки!$Q$15)</f>
        <v>0</v>
      </c>
      <c r="W45" s="153" t="s">
        <v>20</v>
      </c>
      <c r="X45" s="154" t="s">
        <v>644</v>
      </c>
      <c r="AA45" s="334">
        <v>6227.55</v>
      </c>
      <c r="AB45" s="334">
        <v>6680.1</v>
      </c>
      <c r="AC45" s="334">
        <v>9300.9</v>
      </c>
      <c r="AD45" s="334">
        <v>11516.4</v>
      </c>
      <c r="AE45" s="334">
        <v>14395.5</v>
      </c>
      <c r="AF45" s="334">
        <v>18828.600000000002</v>
      </c>
      <c r="AG45" s="334">
        <v>22982.400000000001</v>
      </c>
      <c r="AH45" s="334">
        <v>29184.75</v>
      </c>
      <c r="AI45" s="334">
        <v>38106.6</v>
      </c>
      <c r="AJ45" s="334">
        <v>66582.600000000006</v>
      </c>
      <c r="BC45" s="327"/>
    </row>
    <row r="46" spans="1:55" ht="15.75" thickBot="1">
      <c r="A46">
        <f>IF(B46=Печать!$A$29,1,0)*IF(C46=Печать!$C$29,1,0)*IF($B$34=Печать!$D$29,1,0)</f>
        <v>0</v>
      </c>
      <c r="B46" s="155" t="s">
        <v>20</v>
      </c>
      <c r="C46" s="156" t="s">
        <v>646</v>
      </c>
      <c r="D46">
        <f>CEILING(Y46*Настройки!$O$15*A46*$D$34,Настройки!$Q$15)</f>
        <v>0</v>
      </c>
      <c r="E46">
        <f>CEILING(Z46*Настройки!$O$15*A46*E$34,Настройки!$Q$15)</f>
        <v>0</v>
      </c>
      <c r="F46">
        <f>CEILING(AA46*Настройки!$O$15*A46*F$34,Настройки!$Q$15)</f>
        <v>0</v>
      </c>
      <c r="G46">
        <f>CEILING(AB46*Настройки!$O$15*A46*G$34,Настройки!$Q$15)</f>
        <v>0</v>
      </c>
      <c r="H46">
        <f>CEILING(AC46*Настройки!$O$15*A46*H$34,Настройки!$Q$15)</f>
        <v>0</v>
      </c>
      <c r="I46">
        <f>CEILING(AD46*Настройки!$O$15*A46*I$34,Настройки!$Q$15)</f>
        <v>0</v>
      </c>
      <c r="J46">
        <f>CEILING(AE46*Настройки!$O$15*A46*J$34,Настройки!$Q$15)</f>
        <v>0</v>
      </c>
      <c r="K46">
        <f>CEILING(AF46*Настройки!$O$15*A46*K$34,Настройки!$Q$15)</f>
        <v>0</v>
      </c>
      <c r="L46">
        <f>CEILING(AG46*Настройки!$O$15*A46*L$34,Настройки!$Q$15)</f>
        <v>0</v>
      </c>
      <c r="M46">
        <f>CEILING(AH46*Настройки!$O$15*A46*M$34,Настройки!$Q$15)</f>
        <v>0</v>
      </c>
      <c r="N46">
        <f>CEILING(AI46*Настройки!$O$15*A46*N$34,Настройки!$Q$15)</f>
        <v>0</v>
      </c>
      <c r="O46">
        <f>CEILING(AJ46*Настройки!$O$15*A46*O$34,Настройки!$Q$15)</f>
        <v>0</v>
      </c>
      <c r="W46" s="155" t="s">
        <v>20</v>
      </c>
      <c r="X46" s="156" t="s">
        <v>646</v>
      </c>
      <c r="AA46" s="334">
        <v>5660.55</v>
      </c>
      <c r="AB46" s="334">
        <v>6395.55</v>
      </c>
      <c r="AC46" s="334">
        <v>8589</v>
      </c>
      <c r="AD46" s="334">
        <v>10363.5</v>
      </c>
      <c r="AE46" s="334">
        <v>13531.35</v>
      </c>
      <c r="AF46" s="334">
        <v>18407.55</v>
      </c>
      <c r="AG46" s="334">
        <v>20649.3</v>
      </c>
      <c r="AH46" s="334">
        <v>25130.7</v>
      </c>
      <c r="AI46" s="334">
        <v>31885.350000000002</v>
      </c>
      <c r="AJ46" s="334">
        <v>57538.950000000004</v>
      </c>
      <c r="BC46" s="327"/>
    </row>
    <row r="47" spans="1:55" ht="15.75" thickBot="1">
      <c r="A47">
        <f>IF(B47=Печать!$A$29,1,0)*IF(C47=Печать!$C$29,1,0)*IF($B$34=Печать!$D$29,1,0)</f>
        <v>0</v>
      </c>
      <c r="B47" s="153" t="s">
        <v>657</v>
      </c>
      <c r="C47" s="154" t="s">
        <v>644</v>
      </c>
      <c r="D47">
        <f>CEILING(Y47*Настройки!$O$15*A47*$D$34,Настройки!$Q$15)</f>
        <v>0</v>
      </c>
      <c r="E47">
        <f>CEILING(Z47*Настройки!$O$15*A47*E$34,Настройки!$Q$15)</f>
        <v>0</v>
      </c>
      <c r="F47">
        <f>CEILING(AA47*Настройки!$O$15*A47*F$34,Настройки!$Q$15)</f>
        <v>0</v>
      </c>
      <c r="G47">
        <f>CEILING(AB47*Настройки!$O$15*A47*G$34,Настройки!$Q$15)</f>
        <v>0</v>
      </c>
      <c r="H47">
        <f>CEILING(AC47*Настройки!$O$15*A47*H$34,Настройки!$Q$15)</f>
        <v>0</v>
      </c>
      <c r="I47">
        <f>CEILING(AD47*Настройки!$O$15*A47*I$34,Настройки!$Q$15)</f>
        <v>0</v>
      </c>
      <c r="J47">
        <f>CEILING(AE47*Настройки!$O$15*A47*J$34,Настройки!$Q$15)</f>
        <v>0</v>
      </c>
      <c r="K47">
        <f>CEILING(AF47*Настройки!$O$15*A47*K$34,Настройки!$Q$15)</f>
        <v>0</v>
      </c>
      <c r="L47">
        <f>CEILING(AG47*Настройки!$O$15*A47*L$34,Настройки!$Q$15)</f>
        <v>0</v>
      </c>
      <c r="M47">
        <f>CEILING(AH47*Настройки!$O$15*A47*M$34,Настройки!$Q$15)</f>
        <v>0</v>
      </c>
      <c r="N47">
        <f>CEILING(AI47*Настройки!$O$15*A47*N$34,Настройки!$Q$15)</f>
        <v>0</v>
      </c>
      <c r="O47">
        <f>CEILING(AJ47*Настройки!$O$15*A47*O$34,Настройки!$Q$15)</f>
        <v>0</v>
      </c>
      <c r="W47" s="153" t="s">
        <v>657</v>
      </c>
      <c r="X47" s="154" t="s">
        <v>644</v>
      </c>
      <c r="AA47" s="334">
        <v>3141.6</v>
      </c>
      <c r="AB47" s="334">
        <v>3852.4500000000003</v>
      </c>
      <c r="AC47" s="334">
        <v>5380.2</v>
      </c>
      <c r="AD47" s="334">
        <v>6513.1500000000005</v>
      </c>
      <c r="AE47" s="334">
        <v>7647.1500000000005</v>
      </c>
      <c r="AF47" s="334">
        <v>9119.25</v>
      </c>
      <c r="AG47" s="334">
        <v>10285.800000000001</v>
      </c>
      <c r="AH47" s="334">
        <v>12792.15</v>
      </c>
      <c r="AI47" s="334">
        <v>15630.300000000001</v>
      </c>
      <c r="AJ47" s="334">
        <v>28891.800000000003</v>
      </c>
      <c r="BC47" s="327"/>
    </row>
    <row r="48" spans="1:55" ht="15.75" thickBot="1">
      <c r="A48">
        <f>IF(B48=Печать!$A$29,1,0)*IF(C48=Печать!$C$29,1,0)*IF($B$34=Печать!$D$29,1,0)</f>
        <v>0</v>
      </c>
      <c r="B48" s="155" t="s">
        <v>657</v>
      </c>
      <c r="C48" s="156" t="s">
        <v>646</v>
      </c>
      <c r="D48">
        <f>CEILING(Y48*Настройки!$O$15*A48*$D$34,Настройки!$Q$15)</f>
        <v>0</v>
      </c>
      <c r="E48">
        <f>CEILING(Z48*Настройки!$O$15*A48*E$34,Настройки!$Q$15)</f>
        <v>0</v>
      </c>
      <c r="F48">
        <f>CEILING(AA48*Настройки!$O$15*A48*F$34,Настройки!$Q$15)</f>
        <v>0</v>
      </c>
      <c r="G48">
        <f>CEILING(AB48*Настройки!$O$15*A48*G$34,Настройки!$Q$15)</f>
        <v>0</v>
      </c>
      <c r="H48">
        <f>CEILING(AC48*Настройки!$O$15*A48*H$34,Настройки!$Q$15)</f>
        <v>0</v>
      </c>
      <c r="I48">
        <f>CEILING(AD48*Настройки!$O$15*A48*I$34,Настройки!$Q$15)</f>
        <v>0</v>
      </c>
      <c r="J48">
        <f>CEILING(AE48*Настройки!$O$15*A48*J$34,Настройки!$Q$15)</f>
        <v>0</v>
      </c>
      <c r="K48">
        <f>CEILING(AF48*Настройки!$O$15*A48*K$34,Настройки!$Q$15)</f>
        <v>0</v>
      </c>
      <c r="L48">
        <f>CEILING(AG48*Настройки!$O$15*A48*L$34,Настройки!$Q$15)</f>
        <v>0</v>
      </c>
      <c r="M48">
        <f>CEILING(AH48*Настройки!$O$15*A48*M$34,Настройки!$Q$15)</f>
        <v>0</v>
      </c>
      <c r="N48">
        <f>CEILING(AI48*Настройки!$O$15*A48*N$34,Настройки!$Q$15)</f>
        <v>0</v>
      </c>
      <c r="O48">
        <f>CEILING(AJ48*Настройки!$O$15*A48*O$34,Настройки!$Q$15)</f>
        <v>0</v>
      </c>
      <c r="W48" s="155" t="s">
        <v>657</v>
      </c>
      <c r="X48" s="156" t="s">
        <v>646</v>
      </c>
      <c r="AA48" s="334">
        <v>2857.05</v>
      </c>
      <c r="AB48" s="334">
        <v>3643.5</v>
      </c>
      <c r="AC48" s="334">
        <v>4813.2</v>
      </c>
      <c r="AD48" s="334">
        <v>5664.75</v>
      </c>
      <c r="AE48" s="334">
        <v>6795.6</v>
      </c>
      <c r="AF48" s="334">
        <v>7943.25</v>
      </c>
      <c r="AG48" s="334">
        <v>9213.75</v>
      </c>
      <c r="AH48" s="334">
        <v>11645.550000000001</v>
      </c>
      <c r="AI48" s="334">
        <v>14473.2</v>
      </c>
      <c r="AJ48" s="334">
        <v>26265.75</v>
      </c>
      <c r="BC48" s="327"/>
    </row>
    <row r="49" spans="1:55" ht="15.75" thickBot="1">
      <c r="A49">
        <f>IF(B49=Печать!$A$29,1,0)*IF(C49=Печать!$C$29,1,0)*IF($B$34=Печать!$D$29,1,0)</f>
        <v>0</v>
      </c>
      <c r="B49" s="153" t="s">
        <v>651</v>
      </c>
      <c r="C49" s="154" t="s">
        <v>644</v>
      </c>
      <c r="D49">
        <f>CEILING(Y49*Настройки!$O$15*A49*$D$34,Настройки!$Q$15)</f>
        <v>0</v>
      </c>
      <c r="E49">
        <f>CEILING(Z49*Настройки!$O$15*A49*E$34,Настройки!$Q$15)</f>
        <v>0</v>
      </c>
      <c r="F49">
        <f>CEILING(AA49*Настройки!$O$15*A49*F$34,Настройки!$Q$15)</f>
        <v>0</v>
      </c>
      <c r="G49">
        <f>CEILING(AB49*Настройки!$O$15*A49*G$34,Настройки!$Q$15)</f>
        <v>0</v>
      </c>
      <c r="H49">
        <f>CEILING(AC49*Настройки!$O$15*A49*H$34,Настройки!$Q$15)</f>
        <v>0</v>
      </c>
      <c r="I49">
        <f>CEILING(AD49*Настройки!$O$15*A49*I$34,Настройки!$Q$15)</f>
        <v>0</v>
      </c>
      <c r="J49">
        <f>CEILING(AE49*Настройки!$O$15*A49*J$34,Настройки!$Q$15)</f>
        <v>0</v>
      </c>
      <c r="K49">
        <f>CEILING(AF49*Настройки!$O$15*A49*K$34,Настройки!$Q$15)</f>
        <v>0</v>
      </c>
      <c r="L49">
        <f>CEILING(AG49*Настройки!$O$15*A49*L$34,Настройки!$Q$15)</f>
        <v>0</v>
      </c>
      <c r="M49">
        <f>CEILING(AH49*Настройки!$O$15*A49*M$34,Настройки!$Q$15)</f>
        <v>0</v>
      </c>
      <c r="N49">
        <f>CEILING(AI49*Настройки!$O$15*A49*N$34,Настройки!$Q$15)</f>
        <v>0</v>
      </c>
      <c r="O49">
        <f>CEILING(AJ49*Настройки!$O$15*A49*O$34,Настройки!$Q$15)</f>
        <v>0</v>
      </c>
      <c r="W49" s="153" t="s">
        <v>651</v>
      </c>
      <c r="X49" s="154" t="s">
        <v>644</v>
      </c>
      <c r="AA49" s="334">
        <v>2000.25</v>
      </c>
      <c r="AB49" s="334">
        <v>2570.4</v>
      </c>
      <c r="AC49" s="334">
        <v>3526.9500000000003</v>
      </c>
      <c r="AD49" s="334">
        <v>4247.25</v>
      </c>
      <c r="AE49" s="334">
        <v>4813.2</v>
      </c>
      <c r="AF49" s="334">
        <v>5589.1500000000005</v>
      </c>
      <c r="AG49" s="334">
        <v>6529.9500000000007</v>
      </c>
      <c r="AH49" s="334">
        <v>8413.65</v>
      </c>
      <c r="AI49" s="334">
        <v>10420.200000000001</v>
      </c>
      <c r="AJ49" s="334">
        <v>20429.850000000002</v>
      </c>
      <c r="BC49" s="327"/>
    </row>
    <row r="50" spans="1:55" ht="15.75" thickBot="1">
      <c r="A50">
        <f>IF(B50=Печать!$A$29,1,0)*IF(C50=Печать!$C$29,1,0)*IF($B$34=Печать!$D$29,1,0)</f>
        <v>0</v>
      </c>
      <c r="B50" s="155" t="s">
        <v>651</v>
      </c>
      <c r="C50" s="156" t="s">
        <v>646</v>
      </c>
      <c r="D50">
        <f>CEILING(Y50*Настройки!$O$15*A50*$D$34,Настройки!$Q$15)</f>
        <v>0</v>
      </c>
      <c r="E50">
        <f>CEILING(Z50*Настройки!$O$15*A50*E$34,Настройки!$Q$15)</f>
        <v>0</v>
      </c>
      <c r="F50">
        <f>CEILING(AA50*Настройки!$O$15*A50*F$34,Настройки!$Q$15)</f>
        <v>0</v>
      </c>
      <c r="G50">
        <f>CEILING(AB50*Настройки!$O$15*A50*G$34,Настройки!$Q$15)</f>
        <v>0</v>
      </c>
      <c r="H50">
        <f>CEILING(AC50*Настройки!$O$15*A50*H$34,Настройки!$Q$15)</f>
        <v>0</v>
      </c>
      <c r="I50">
        <f>CEILING(AD50*Настройки!$O$15*A50*I$34,Настройки!$Q$15)</f>
        <v>0</v>
      </c>
      <c r="J50">
        <f>CEILING(AE50*Настройки!$O$15*A50*J$34,Настройки!$Q$15)</f>
        <v>0</v>
      </c>
      <c r="K50">
        <f>CEILING(AF50*Настройки!$O$15*A50*K$34,Настройки!$Q$15)</f>
        <v>0</v>
      </c>
      <c r="L50">
        <f>CEILING(AG50*Настройки!$O$15*A50*L$34,Настройки!$Q$15)</f>
        <v>0</v>
      </c>
      <c r="M50">
        <f>CEILING(AH50*Настройки!$O$15*A50*M$34,Настройки!$Q$15)</f>
        <v>0</v>
      </c>
      <c r="N50">
        <f>CEILING(AI50*Настройки!$O$15*A50*N$34,Настройки!$Q$15)</f>
        <v>0</v>
      </c>
      <c r="O50">
        <f>CEILING(AJ50*Настройки!$O$15*A50*O$34,Настройки!$Q$15)</f>
        <v>0</v>
      </c>
      <c r="W50" s="155" t="s">
        <v>651</v>
      </c>
      <c r="X50" s="156" t="s">
        <v>646</v>
      </c>
      <c r="AA50" s="334">
        <v>1827</v>
      </c>
      <c r="AB50" s="334">
        <v>2399.25</v>
      </c>
      <c r="AC50" s="334">
        <v>3232.9500000000003</v>
      </c>
      <c r="AD50" s="334">
        <v>3964.8</v>
      </c>
      <c r="AE50" s="334">
        <v>4530.75</v>
      </c>
      <c r="AF50" s="334">
        <v>5296.2</v>
      </c>
      <c r="AG50" s="334">
        <v>6238.05</v>
      </c>
      <c r="AH50" s="334">
        <v>8123.85</v>
      </c>
      <c r="AI50" s="334">
        <v>10131.450000000001</v>
      </c>
      <c r="AJ50" s="334">
        <v>20230.350000000002</v>
      </c>
      <c r="BC50" s="327"/>
    </row>
    <row r="51" spans="1:55" ht="15.75" thickBot="1">
      <c r="A51">
        <f>IF(B51=Печать!$A$29,1,0)*IF(C51=Печать!$C$29,1,0)*IF($B$34=Печать!$D$29,1,0)</f>
        <v>0</v>
      </c>
      <c r="B51" s="153" t="s">
        <v>652</v>
      </c>
      <c r="C51" s="154" t="s">
        <v>644</v>
      </c>
      <c r="D51">
        <f>CEILING(Y51*Настройки!$O$15*A51*$D$34,Настройки!$Q$15)</f>
        <v>0</v>
      </c>
      <c r="E51">
        <f>CEILING(Z51*Настройки!$O$15*A51*E$34,Настройки!$Q$15)</f>
        <v>0</v>
      </c>
      <c r="F51">
        <f>CEILING(AA51*Настройки!$O$15*A51*F$34,Настройки!$Q$15)</f>
        <v>0</v>
      </c>
      <c r="G51">
        <f>CEILING(AB51*Настройки!$O$15*A51*G$34,Настройки!$Q$15)</f>
        <v>0</v>
      </c>
      <c r="H51">
        <f>CEILING(AC51*Настройки!$O$15*A51*H$34,Настройки!$Q$15)</f>
        <v>0</v>
      </c>
      <c r="I51">
        <f>CEILING(AD51*Настройки!$O$15*A51*I$34,Настройки!$Q$15)</f>
        <v>0</v>
      </c>
      <c r="J51">
        <f>CEILING(AE51*Настройки!$O$15*A51*J$34,Настройки!$Q$15)</f>
        <v>0</v>
      </c>
      <c r="K51">
        <f>CEILING(AF51*Настройки!$O$15*A51*K$34,Настройки!$Q$15)</f>
        <v>0</v>
      </c>
      <c r="L51">
        <f>CEILING(AG51*Настройки!$O$15*A51*L$34,Настройки!$Q$15)</f>
        <v>0</v>
      </c>
      <c r="M51">
        <f>CEILING(AH51*Настройки!$O$15*A51*M$34,Настройки!$Q$15)</f>
        <v>0</v>
      </c>
      <c r="N51">
        <f>CEILING(AI51*Настройки!$O$15*A51*N$34,Настройки!$Q$15)</f>
        <v>0</v>
      </c>
      <c r="O51">
        <f>CEILING(AJ51*Настройки!$O$15*A51*O$34,Настройки!$Q$15)</f>
        <v>0</v>
      </c>
      <c r="W51" s="153" t="s">
        <v>652</v>
      </c>
      <c r="X51" s="154" t="s">
        <v>644</v>
      </c>
      <c r="AA51" s="190">
        <v>1183.3500000000001</v>
      </c>
      <c r="AB51" s="190">
        <v>1382.8500000000001</v>
      </c>
      <c r="AC51" s="334">
        <v>1940.4</v>
      </c>
      <c r="AD51" s="334">
        <v>2327.85</v>
      </c>
      <c r="AE51" s="334">
        <v>2586.15</v>
      </c>
      <c r="AF51" s="334">
        <v>3358.9500000000003</v>
      </c>
      <c r="AG51" s="334">
        <v>3874.5</v>
      </c>
      <c r="AH51" s="334">
        <v>4813.2</v>
      </c>
      <c r="AI51" s="334">
        <v>5723.55</v>
      </c>
      <c r="AJ51" s="334">
        <v>13094.550000000001</v>
      </c>
      <c r="BC51" s="327"/>
    </row>
    <row r="52" spans="1:55" ht="15.75" thickBot="1">
      <c r="A52">
        <f>IF(B52=Печать!$A$29,1,0)*IF(C52=Печать!$C$29,1,0)*IF($B$34=Печать!$D$29,1,0)</f>
        <v>0</v>
      </c>
      <c r="B52" s="155" t="s">
        <v>652</v>
      </c>
      <c r="C52" s="156" t="s">
        <v>646</v>
      </c>
      <c r="D52">
        <f>CEILING(Y52*Настройки!$O$15*A52*$D$34,Настройки!$Q$15)</f>
        <v>0</v>
      </c>
      <c r="E52">
        <f>CEILING(Z52*Настройки!$O$15*A52*E$34,Настройки!$Q$15)</f>
        <v>0</v>
      </c>
      <c r="F52">
        <f>CEILING(AA52*Настройки!$O$15*A52*F$34,Настройки!$Q$15)</f>
        <v>0</v>
      </c>
      <c r="G52">
        <f>CEILING(AB52*Настройки!$O$15*A52*G$34,Настройки!$Q$15)</f>
        <v>0</v>
      </c>
      <c r="H52">
        <f>CEILING(AC52*Настройки!$O$15*A52*H$34,Настройки!$Q$15)</f>
        <v>0</v>
      </c>
      <c r="I52">
        <f>CEILING(AD52*Настройки!$O$15*A52*I$34,Настройки!$Q$15)</f>
        <v>0</v>
      </c>
      <c r="J52">
        <f>CEILING(AE52*Настройки!$O$15*A52*J$34,Настройки!$Q$15)</f>
        <v>0</v>
      </c>
      <c r="K52">
        <f>CEILING(AF52*Настройки!$O$15*A52*K$34,Настройки!$Q$15)</f>
        <v>0</v>
      </c>
      <c r="L52">
        <f>CEILING(AG52*Настройки!$O$15*A52*L$34,Настройки!$Q$15)</f>
        <v>0</v>
      </c>
      <c r="M52">
        <f>CEILING(AH52*Настройки!$O$15*A52*M$34,Настройки!$Q$15)</f>
        <v>0</v>
      </c>
      <c r="N52">
        <f>CEILING(AI52*Настройки!$O$15*A52*N$34,Настройки!$Q$15)</f>
        <v>0</v>
      </c>
      <c r="O52">
        <f>CEILING(AJ52*Настройки!$O$15*A52*O$34,Настройки!$Q$15)</f>
        <v>0</v>
      </c>
      <c r="W52" s="155" t="s">
        <v>652</v>
      </c>
      <c r="X52" s="156" t="s">
        <v>646</v>
      </c>
      <c r="AA52" s="190">
        <v>1117.2</v>
      </c>
      <c r="AB52" s="190">
        <v>1380.75</v>
      </c>
      <c r="AC52" s="334">
        <v>1811.25</v>
      </c>
      <c r="AD52" s="334">
        <v>2238.6</v>
      </c>
      <c r="AE52" s="334">
        <v>2392.9500000000003</v>
      </c>
      <c r="AF52" s="334">
        <v>3022.9500000000003</v>
      </c>
      <c r="AG52" s="334">
        <v>3538.5</v>
      </c>
      <c r="AH52" s="334">
        <v>4486.6500000000005</v>
      </c>
      <c r="AI52" s="334">
        <v>5404.35</v>
      </c>
      <c r="AJ52" s="334">
        <v>12325.95</v>
      </c>
      <c r="BC52" s="327"/>
    </row>
    <row r="53" spans="1:55" ht="15.75" thickBot="1">
      <c r="A53">
        <f>IF(B53=Печать!$A$29,1,0)*IF(C53=Печать!$C$29,1,0)*IF($B$34=Печать!$D$29,1,0)</f>
        <v>0</v>
      </c>
      <c r="B53" s="155" t="s">
        <v>663</v>
      </c>
      <c r="C53" s="156" t="s">
        <v>644</v>
      </c>
      <c r="D53">
        <f>CEILING(Y53*Настройки!$O$15*A53*$D$34,Настройки!$Q$15)</f>
        <v>0</v>
      </c>
      <c r="E53">
        <f>CEILING(Z53*Настройки!$O$15*A53*E$34,Настройки!$Q$15)</f>
        <v>0</v>
      </c>
      <c r="F53">
        <f>CEILING(AA53*Настройки!$O$15*A53*F$34,Настройки!$Q$15)</f>
        <v>0</v>
      </c>
      <c r="G53">
        <f>CEILING(AB53*Настройки!$O$15*A53*G$34,Настройки!$Q$15)</f>
        <v>0</v>
      </c>
      <c r="H53">
        <f>CEILING(AC53*Настройки!$O$15*A53*H$34,Настройки!$Q$15)</f>
        <v>0</v>
      </c>
      <c r="I53">
        <f>CEILING(AD53*Настройки!$O$15*A53*I$34,Настройки!$Q$15)</f>
        <v>0</v>
      </c>
      <c r="J53">
        <f>CEILING(AE53*Настройки!$O$15*A53*J$34,Настройки!$Q$15)</f>
        <v>0</v>
      </c>
      <c r="K53">
        <f>CEILING(AF53*Настройки!$O$15*A53*K$34,Настройки!$Q$15)</f>
        <v>0</v>
      </c>
      <c r="L53">
        <f>CEILING(AG53*Настройки!$O$15*A53*L$34,Настройки!$Q$15)</f>
        <v>0</v>
      </c>
      <c r="M53">
        <f>CEILING(AH53*Настройки!$O$15*A53*M$34,Настройки!$Q$15)</f>
        <v>0</v>
      </c>
      <c r="N53">
        <f>CEILING(AI53*Настройки!$O$15*A53*N$34,Настройки!$Q$15)</f>
        <v>0</v>
      </c>
      <c r="O53">
        <f>CEILING(AJ53*Настройки!$O$15*A53*O$34,Настройки!$Q$15)</f>
        <v>0</v>
      </c>
      <c r="W53" s="155"/>
      <c r="X53" s="156"/>
      <c r="AA53" s="190">
        <v>789.6</v>
      </c>
      <c r="AB53" s="190">
        <v>987</v>
      </c>
      <c r="AC53" s="190">
        <v>1420.65</v>
      </c>
      <c r="AD53" s="334">
        <v>1680</v>
      </c>
      <c r="AE53" s="334">
        <v>1811.25</v>
      </c>
      <c r="AF53" s="334">
        <v>2352</v>
      </c>
      <c r="AG53" s="334">
        <v>2794.05</v>
      </c>
      <c r="AH53" s="334">
        <v>3680.25</v>
      </c>
      <c r="AI53" s="334">
        <v>4404.75</v>
      </c>
      <c r="AJ53" s="334">
        <v>10265.85</v>
      </c>
      <c r="BC53" s="327"/>
    </row>
    <row r="54" spans="1:55" ht="15.75" thickBot="1">
      <c r="A54">
        <f>IF(B54=Печать!$A$29,1,0)*IF(C54=Печать!$C$29,1,0)*IF($B$34=Печать!$D$29,1,0)</f>
        <v>0</v>
      </c>
      <c r="B54" s="155" t="s">
        <v>663</v>
      </c>
      <c r="C54" s="156" t="s">
        <v>646</v>
      </c>
      <c r="D54">
        <f>CEILING(Y54*Настройки!$O$15*A54*$D$34,Настройки!$Q$15)</f>
        <v>0</v>
      </c>
      <c r="E54">
        <f>CEILING(Z54*Настройки!$O$15*A54*E$34,Настройки!$Q$15)</f>
        <v>0</v>
      </c>
      <c r="F54">
        <f>CEILING(AA54*Настройки!$O$15*A54*F$34,Настройки!$Q$15)</f>
        <v>0</v>
      </c>
      <c r="G54">
        <f>CEILING(AB54*Настройки!$O$15*A54*G$34,Настройки!$Q$15)</f>
        <v>0</v>
      </c>
      <c r="H54">
        <f>CEILING(AC54*Настройки!$O$15*A54*H$34,Настройки!$Q$15)</f>
        <v>0</v>
      </c>
      <c r="I54">
        <f>CEILING(AD54*Настройки!$O$15*A54*I$34,Настройки!$Q$15)</f>
        <v>0</v>
      </c>
      <c r="J54">
        <f>CEILING(AE54*Настройки!$O$15*A54*J$34,Настройки!$Q$15)</f>
        <v>0</v>
      </c>
      <c r="K54">
        <f>CEILING(AF54*Настройки!$O$15*A54*K$34,Настройки!$Q$15)</f>
        <v>0</v>
      </c>
      <c r="L54">
        <f>CEILING(AG54*Настройки!$O$15*A54*L$34,Настройки!$Q$15)</f>
        <v>0</v>
      </c>
      <c r="M54">
        <f>CEILING(AH54*Настройки!$O$15*A54*M$34,Настройки!$Q$15)</f>
        <v>0</v>
      </c>
      <c r="N54">
        <f>CEILING(AI54*Настройки!$O$15*A54*N$34,Настройки!$Q$15)</f>
        <v>0</v>
      </c>
      <c r="O54">
        <f>CEILING(AJ54*Настройки!$O$15*A54*O$34,Настройки!$Q$15)</f>
        <v>0</v>
      </c>
      <c r="W54" s="155"/>
      <c r="X54" s="156"/>
      <c r="AA54" s="190">
        <v>723.45</v>
      </c>
      <c r="AB54" s="190">
        <v>920.85</v>
      </c>
      <c r="AC54" s="190">
        <v>1354.5</v>
      </c>
      <c r="AD54" s="190">
        <v>1615.95</v>
      </c>
      <c r="AE54" s="334">
        <v>1680</v>
      </c>
      <c r="AF54" s="334">
        <v>2215.5</v>
      </c>
      <c r="AG54" s="334">
        <v>2619.75</v>
      </c>
      <c r="AH54" s="334">
        <v>3426.15</v>
      </c>
      <c r="AI54" s="334">
        <v>4080.3</v>
      </c>
      <c r="AJ54" s="334">
        <v>9487.8000000000011</v>
      </c>
      <c r="BC54" s="327"/>
    </row>
    <row r="55" spans="1:55" ht="15.75" thickBot="1">
      <c r="A55">
        <f>IF(B55=Печать!$A$29,1,0)*IF(C55=Печать!$C$29,1,0)*IF($B$34=Печать!$D$29,1,0)</f>
        <v>0</v>
      </c>
      <c r="B55" s="153" t="s">
        <v>653</v>
      </c>
      <c r="C55" s="154" t="s">
        <v>644</v>
      </c>
      <c r="D55">
        <f>CEILING(Y55*Настройки!$O$15*A55*$D$34,Настройки!$Q$15)</f>
        <v>0</v>
      </c>
      <c r="E55">
        <f>CEILING(Z55*Настройки!$O$15*A55*E$34,Настройки!$Q$15)</f>
        <v>0</v>
      </c>
      <c r="F55">
        <f>CEILING(AA55*Настройки!$O$15*A55*F$34,Настройки!$Q$15)</f>
        <v>0</v>
      </c>
      <c r="G55">
        <f>CEILING(AB55*Настройки!$O$15*A55*G$34,Настройки!$Q$15)</f>
        <v>0</v>
      </c>
      <c r="H55">
        <f>CEILING(AC55*Настройки!$O$15*A55*H$34,Настройки!$Q$15)</f>
        <v>0</v>
      </c>
      <c r="I55">
        <f>CEILING(AD55*Настройки!$O$15*A55*I$34,Настройки!$Q$15)</f>
        <v>0</v>
      </c>
      <c r="J55">
        <f>CEILING(AE55*Настройки!$O$15*A55*J$34,Настройки!$Q$15)</f>
        <v>0</v>
      </c>
      <c r="K55">
        <f>CEILING(AF55*Настройки!$O$15*A55*K$34,Настройки!$Q$15)</f>
        <v>0</v>
      </c>
      <c r="L55">
        <f>CEILING(AG55*Настройки!$O$15*A55*L$34,Настройки!$Q$15)</f>
        <v>0</v>
      </c>
      <c r="M55">
        <f>CEILING(AH55*Настройки!$O$15*A55*M$34,Настройки!$Q$15)</f>
        <v>0</v>
      </c>
      <c r="N55">
        <f>CEILING(AI55*Настройки!$O$15*A55*N$34,Настройки!$Q$15)</f>
        <v>0</v>
      </c>
      <c r="O55">
        <f>CEILING(AJ55*Настройки!$O$15*A55*O$34,Настройки!$Q$15)</f>
        <v>0</v>
      </c>
      <c r="W55" s="153" t="s">
        <v>653</v>
      </c>
      <c r="X55" s="154" t="s">
        <v>644</v>
      </c>
      <c r="AA55" s="190">
        <v>789.6</v>
      </c>
      <c r="AB55" s="190">
        <v>987</v>
      </c>
      <c r="AC55" s="190">
        <v>1420.65</v>
      </c>
      <c r="AD55" s="334">
        <v>1680</v>
      </c>
      <c r="AE55" s="334">
        <v>1811.25</v>
      </c>
      <c r="AF55" s="334">
        <v>2352</v>
      </c>
      <c r="AG55" s="334">
        <v>2794.05</v>
      </c>
      <c r="AH55" s="334">
        <v>3680.25</v>
      </c>
      <c r="AI55" s="334">
        <v>4404.75</v>
      </c>
      <c r="AJ55" s="334">
        <v>10265.85</v>
      </c>
      <c r="BC55" s="327"/>
    </row>
    <row r="56" spans="1:55" ht="15.75" thickBot="1">
      <c r="A56">
        <f>IF(B56=Печать!$A$29,1,0)*IF(C56=Печать!$C$29,1,0)*IF($B$34=Печать!$D$29,1,0)</f>
        <v>0</v>
      </c>
      <c r="B56" s="155" t="s">
        <v>653</v>
      </c>
      <c r="C56" s="156" t="s">
        <v>646</v>
      </c>
      <c r="D56">
        <f>CEILING(Y56*Настройки!$O$15*A56*$D$34,Настройки!$Q$15)</f>
        <v>0</v>
      </c>
      <c r="E56">
        <f>CEILING(Z56*Настройки!$O$15*A56*E$34,Настройки!$Q$15)</f>
        <v>0</v>
      </c>
      <c r="F56">
        <f>CEILING(AA56*Настройки!$O$15*A56*F$34,Настройки!$Q$15)</f>
        <v>0</v>
      </c>
      <c r="G56">
        <f>CEILING(AB56*Настройки!$O$15*A56*G$34,Настройки!$Q$15)</f>
        <v>0</v>
      </c>
      <c r="H56">
        <f>CEILING(AC56*Настройки!$O$15*A56*H$34,Настройки!$Q$15)</f>
        <v>0</v>
      </c>
      <c r="I56">
        <f>CEILING(AD56*Настройки!$O$15*A56*I$34,Настройки!$Q$15)</f>
        <v>0</v>
      </c>
      <c r="J56">
        <f>CEILING(AE56*Настройки!$O$15*A56*J$34,Настройки!$Q$15)</f>
        <v>0</v>
      </c>
      <c r="K56">
        <f>CEILING(AF56*Настройки!$O$15*A56*K$34,Настройки!$Q$15)</f>
        <v>0</v>
      </c>
      <c r="L56">
        <f>CEILING(AG56*Настройки!$O$15*A56*L$34,Настройки!$Q$15)</f>
        <v>0</v>
      </c>
      <c r="M56">
        <f>CEILING(AH56*Настройки!$O$15*A56*M$34,Настройки!$Q$15)</f>
        <v>0</v>
      </c>
      <c r="N56">
        <f>CEILING(AI56*Настройки!$O$15*A56*N$34,Настройки!$Q$15)</f>
        <v>0</v>
      </c>
      <c r="O56">
        <f>CEILING(AJ56*Настройки!$O$15*A56*O$34,Настройки!$Q$15)</f>
        <v>0</v>
      </c>
      <c r="W56" s="155" t="s">
        <v>653</v>
      </c>
      <c r="X56" s="156" t="s">
        <v>646</v>
      </c>
      <c r="AA56" s="190">
        <v>723.45</v>
      </c>
      <c r="AB56" s="190">
        <v>920.85</v>
      </c>
      <c r="AC56" s="190">
        <v>1354.5</v>
      </c>
      <c r="AD56" s="190">
        <v>1615.95</v>
      </c>
      <c r="AE56" s="334">
        <v>1680</v>
      </c>
      <c r="AF56" s="334">
        <v>2215.5</v>
      </c>
      <c r="AG56" s="334">
        <v>2619.75</v>
      </c>
      <c r="AH56" s="334">
        <v>3426.15</v>
      </c>
      <c r="AI56" s="334">
        <v>4080.3</v>
      </c>
      <c r="AJ56" s="334">
        <v>9487.8000000000011</v>
      </c>
      <c r="BC56" s="327"/>
    </row>
    <row r="57" spans="1:55" ht="15.75" thickBot="1">
      <c r="B57" s="171"/>
      <c r="C57" s="171"/>
      <c r="D57" s="171"/>
      <c r="E57" s="171"/>
      <c r="F57" s="171"/>
      <c r="G57" s="171"/>
      <c r="H57" s="171"/>
      <c r="I57" s="171"/>
      <c r="J57" s="171"/>
      <c r="K57" s="171"/>
      <c r="L57" s="171"/>
      <c r="M57" s="171"/>
      <c r="W57" s="171"/>
      <c r="X57" s="171"/>
      <c r="Y57" s="171"/>
      <c r="Z57" s="171"/>
      <c r="AA57" s="171"/>
      <c r="AB57" s="171"/>
      <c r="AC57" s="171"/>
      <c r="AD57" s="171"/>
      <c r="AE57" s="171"/>
      <c r="AF57" s="171"/>
      <c r="AG57" s="171"/>
      <c r="AH57" s="171"/>
    </row>
    <row r="58" spans="1:55" ht="15.75" thickBot="1">
      <c r="A58">
        <f>IF($B$34=Печать!$D$29,1,0)</f>
        <v>0</v>
      </c>
      <c r="B58" s="157" t="s">
        <v>658</v>
      </c>
      <c r="C58" s="160"/>
      <c r="D58">
        <f>CEILING(Y58*Настройки!$O$15*IF(SUM(D36:D56)&gt;0,1,0),Настройки!$Q$15)*A58*H99</f>
        <v>0</v>
      </c>
      <c r="E58">
        <f>CEILING(Z58*Настройки!$O$15*IF(SUM(E36:E56)&gt;0,1,0),Настройки!$Q$15)*A58*H99</f>
        <v>0</v>
      </c>
      <c r="F58">
        <f>CEILING(AA58*H99*Настройки!$O$15*IF(SUM(F36:F56)&gt;0,1,0),Настройки!$Q$15)*A58*H99</f>
        <v>0</v>
      </c>
      <c r="G58">
        <f>CEILING(AB58*Настройки!$O$15*IF(SUM(G36:G56)&gt;0,1,0),Настройки!$Q$15)*A58*H99</f>
        <v>0</v>
      </c>
      <c r="H58">
        <f>CEILING(AC58*Настройки!$O$15*IF(SUM(H36:H56)&gt;0,1,0),Настройки!$Q$15)*A58*H99</f>
        <v>0</v>
      </c>
      <c r="I58">
        <f>CEILING(AD58*Настройки!$O$15*IF(SUM(I36:I56)&gt;0,1,0),Настройки!$Q$15)*A58*H99</f>
        <v>0</v>
      </c>
      <c r="J58">
        <f>CEILING(AE58*Настройки!$O$15*IF(SUM(J36:J56)&gt;0,1,0),Настройки!$Q$15)*A58*H99</f>
        <v>0</v>
      </c>
      <c r="K58">
        <f>CEILING(AF58*Настройки!$O$15*IF(SUM(K36:K56)&gt;0,1,0),Настройки!$Q$15)*A58*H99</f>
        <v>0</v>
      </c>
      <c r="L58">
        <f>CEILING(AG58*Настройки!$O$15*IF(SUM(L36:L56)&gt;0,1,0),Настройки!$Q$15)*A58*H99</f>
        <v>0</v>
      </c>
      <c r="M58">
        <f>CEILING(AH58*Настройки!$O$15*IF(SUM(M36:M56)&gt;0,1,0),Настройки!$Q$15)*A58*H99</f>
        <v>0</v>
      </c>
      <c r="N58">
        <f>CEILING(AI58*Настройки!$O$15*IF(SUM(N36:N56)&gt;0,1,0),Настройки!$Q$15)*A58*H99</f>
        <v>0</v>
      </c>
      <c r="O58">
        <f>CEILING(AJ58*Настройки!$O$15*IF(SUM(O36:O56)&gt;0,1,0),Настройки!$Q$15)*A58*H99</f>
        <v>0</v>
      </c>
      <c r="W58" s="157" t="s">
        <v>658</v>
      </c>
      <c r="X58" s="160"/>
      <c r="AA58" s="190">
        <v>240.45000000000002</v>
      </c>
      <c r="AB58" s="190">
        <v>481.95000000000005</v>
      </c>
      <c r="AC58" s="190">
        <v>722.4</v>
      </c>
      <c r="AD58" s="190">
        <v>962.85</v>
      </c>
      <c r="AE58" s="190">
        <v>1204.3500000000001</v>
      </c>
      <c r="AF58" s="190">
        <v>1444.8</v>
      </c>
      <c r="AG58" s="334">
        <v>1636.95</v>
      </c>
      <c r="AH58" s="334">
        <v>1926.75</v>
      </c>
      <c r="AI58" s="334">
        <v>1926.75</v>
      </c>
      <c r="AJ58" s="334">
        <v>2696.4</v>
      </c>
      <c r="BC58" s="327"/>
    </row>
    <row r="59" spans="1:55" ht="15.75" thickBot="1">
      <c r="B59" s="157" t="s">
        <v>654</v>
      </c>
      <c r="C59" s="160"/>
      <c r="D59">
        <f>CEILING(Y59*Настройки!$O$15*IF(SUM(D36:D56)&gt;0,1,0),Настройки!$Q$15)*A58*H100</f>
        <v>0</v>
      </c>
      <c r="E59">
        <f>CEILING(Z59*Настройки!$O$15*IF(SUM(E36:E56)&gt;0,1,0),Настройки!$Q$15)*A58*H100</f>
        <v>0</v>
      </c>
      <c r="F59">
        <f>CEILING(AA59*Настройки!$O$15*IF(SUM(F36:F56)&gt;0,1,0),Настройки!$Q$15)*A58*H100</f>
        <v>0</v>
      </c>
      <c r="G59">
        <f>CEILING(AB59*Настройки!$O$15*IF(SUM(G36:G56)&gt;0,1,0),Настройки!$Q$15)*A58*H100</f>
        <v>0</v>
      </c>
      <c r="H59">
        <f>CEILING(AC59*Настройки!$O$15*IF(SUM(H36:H56)&gt;0,1,0),Настройки!$Q$15)*A58*H100</f>
        <v>0</v>
      </c>
      <c r="I59">
        <f>CEILING(AD59*Настройки!$O$15*IF(SUM(I36:I56)&gt;0,1,0),Настройки!$Q$15)*A58*H100</f>
        <v>0</v>
      </c>
      <c r="J59">
        <f>CEILING(AE59*Настройки!$O$15*IF(SUM(J36:J56)&gt;0,1,0),Настройки!$Q$15)*A58*H100</f>
        <v>0</v>
      </c>
      <c r="K59">
        <f>CEILING(AF59*Настройки!$O$15*IF(SUM(K36:K56)&gt;0,1,0),Настройки!$Q$15)*A58*H100</f>
        <v>0</v>
      </c>
      <c r="L59">
        <f>CEILING(AG59*Настройки!$O$15*IF(SUM(L36:L56)&gt;0,1,0),Настройки!$Q$15)*A58*H100</f>
        <v>0</v>
      </c>
      <c r="M59">
        <f>CEILING(AH59*Настройки!$O$15*IF(SUM(M36:M56)&gt;0,1,0),Настройки!$Q$15)*A58*H100</f>
        <v>0</v>
      </c>
      <c r="N59">
        <f>CEILING(AI59*Настройки!$O$15*IF(SUM(N36:N56)&gt;0,1,0),Настройки!$Q$15)*A58*H100</f>
        <v>0</v>
      </c>
      <c r="O59">
        <f>CEILING(AJ59*Настройки!$O$15*IF(SUM(O36:O56)&gt;0,1,0),Настройки!$Q$15)*A58*H100</f>
        <v>0</v>
      </c>
      <c r="W59" s="157" t="s">
        <v>654</v>
      </c>
      <c r="X59" s="160"/>
      <c r="AA59" s="190">
        <v>481.95000000000005</v>
      </c>
      <c r="AB59" s="190">
        <v>722.4</v>
      </c>
      <c r="AC59" s="190">
        <v>962.85</v>
      </c>
      <c r="AD59" s="190">
        <v>1444.8</v>
      </c>
      <c r="AE59" s="334">
        <v>1685.25</v>
      </c>
      <c r="AF59" s="334">
        <v>1926.75</v>
      </c>
      <c r="AG59" s="334">
        <v>2312.1</v>
      </c>
      <c r="AH59" s="334">
        <v>3081.75</v>
      </c>
      <c r="AI59" s="334">
        <v>3081.75</v>
      </c>
      <c r="AJ59" s="334">
        <v>5393.85</v>
      </c>
      <c r="BC59" s="327"/>
    </row>
    <row r="60" spans="1:55" ht="15.75" thickBot="1">
      <c r="B60" s="157" t="s">
        <v>655</v>
      </c>
      <c r="C60" s="160"/>
      <c r="D60">
        <f>CEILING(Y60*Настройки!$O$15*IF(SUM(D36:D56)&gt;0,1,0),Настройки!$Q$15)*A58*J100</f>
        <v>0</v>
      </c>
      <c r="E60">
        <f>CEILING(Z60*Настройки!$O$15*IF(SUM(E36:E56)&gt;0,1,0),Настройки!$Q$15)*A58*J100</f>
        <v>0</v>
      </c>
      <c r="F60">
        <f>CEILING(AA60*Настройки!$O$15*IF(SUM(F36:F56)&gt;0,1,0),Настройки!$Q$15)*A58*J100</f>
        <v>0</v>
      </c>
      <c r="G60">
        <f>CEILING(AB60*Настройки!$O$15*IF(SUM(G36:G56)&gt;0,1,0),Настройки!$Q$15)*A58*J100</f>
        <v>0</v>
      </c>
      <c r="H60">
        <f>CEILING(AC60*Настройки!$O$15*IF(SUM(H36:H56)&gt;0,1,0),Настройки!$Q$15)*A58*J100</f>
        <v>0</v>
      </c>
      <c r="I60">
        <f>CEILING(AD60*Настройки!$O$15*IF(SUM(I36:I56)&gt;0,1,0),Настройки!$Q$15)*A58*J100</f>
        <v>0</v>
      </c>
      <c r="J60">
        <f>CEILING(AE60*Настройки!$O$15*IF(SUM(J36:J56)&gt;0,1,0),Настройки!$Q$15)*A58*J100</f>
        <v>0</v>
      </c>
      <c r="K60">
        <f>CEILING(AF60*Настройки!$O$15*IF(SUM(K36:K56)&gt;0,1,0),Настройки!$Q$15)*A58*J100</f>
        <v>0</v>
      </c>
      <c r="L60">
        <f>CEILING(AG60*Настройки!$O$15*IF(SUM(L36:L56)&gt;0,1,0),Настройки!$Q$15)*A58*J100</f>
        <v>0</v>
      </c>
      <c r="M60">
        <f>CEILING(AH60*Настройки!$O$15*IF(SUM(M36:M56)&gt;0,1,0),Настройки!$Q$15)*A58*J100</f>
        <v>0</v>
      </c>
      <c r="N60">
        <f>CEILING(AI60*Настройки!$O$15*IF(SUM(N36:N56)&gt;0,1,0),Настройки!$Q$15)*A58*J100</f>
        <v>0</v>
      </c>
      <c r="O60">
        <f>CEILING(AJ60*Настройки!$O$15*IF(SUM(O36:O56)&gt;0,1,0),Настройки!$Q$15)*A58*J100</f>
        <v>0</v>
      </c>
      <c r="W60" s="157" t="s">
        <v>655</v>
      </c>
      <c r="X60" s="160"/>
      <c r="AA60" s="190">
        <v>233.10000000000002</v>
      </c>
      <c r="AB60" s="190">
        <v>233.10000000000002</v>
      </c>
      <c r="AC60" s="190">
        <v>465.15000000000003</v>
      </c>
      <c r="AD60" s="190">
        <v>698.25</v>
      </c>
      <c r="AE60" s="190">
        <v>931.35</v>
      </c>
      <c r="AF60" s="190">
        <v>1163.4000000000001</v>
      </c>
      <c r="AG60" s="190">
        <v>1396.5</v>
      </c>
      <c r="AH60" s="334">
        <v>1861.65</v>
      </c>
      <c r="AI60" s="334">
        <v>2327.85</v>
      </c>
      <c r="AJ60" s="334">
        <v>4655.7</v>
      </c>
      <c r="BC60" s="327"/>
    </row>
    <row r="61" spans="1:55" ht="15.75" thickBot="1">
      <c r="B61" s="157" t="s">
        <v>659</v>
      </c>
      <c r="C61" s="160"/>
      <c r="D61">
        <f>CEILING(Y61*Настройки!$O$15*IF(SUM(D36:D56)&gt;0,1,0),Настройки!$Q$15)*A58*H101</f>
        <v>0</v>
      </c>
      <c r="E61">
        <f>CEILING(Z61*Настройки!$O$15*IF(SUM(E36:E56)&gt;0,1,0),Настройки!$Q$15)*A58*H101</f>
        <v>0</v>
      </c>
      <c r="F61">
        <f>CEILING(AA61*Настройки!$O$15*IF(SUM(F36:F56)&gt;0,1,0),Настройки!$Q$15)*A58*H101</f>
        <v>0</v>
      </c>
      <c r="G61">
        <f>CEILING(AB61*Настройки!$O$15*IF(SUM(G36:G56)&gt;0,1,0),Настройки!$Q$15)*A58*H101</f>
        <v>0</v>
      </c>
      <c r="H61">
        <f>CEILING(AC61*Настройки!$O$15*IF(SUM(H36:H56)&gt;0,1,0),Настройки!$Q$15)*A58*H101</f>
        <v>0</v>
      </c>
      <c r="I61">
        <f>CEILING(AD61*Настройки!$O$15*IF(SUM(I36:I56)&gt;0,1,0),Настройки!$Q$15)*A58*H101</f>
        <v>0</v>
      </c>
      <c r="J61">
        <f>CEILING(AE61*Настройки!$O$15*IF(SUM(J36:J56)&gt;0,1,0),Настройки!$Q$15)*A58*H101</f>
        <v>0</v>
      </c>
      <c r="K61">
        <f>CEILING(AF61*Настройки!$O$15*IF(SUM(K36:K56)&gt;0,1,0),Настройки!$Q$15)*A58*H101</f>
        <v>0</v>
      </c>
      <c r="L61">
        <f>CEILING(AG61*Настройки!$O$15*IF(SUM(L36:L56)&gt;0,1,0),Настройки!$Q$15)*A58*H101</f>
        <v>0</v>
      </c>
      <c r="M61">
        <f>CEILING(AH61*Настройки!$O$15*IF(SUM(M36:M56)&gt;0,1,0),Настройки!$Q$15)*A58*H101</f>
        <v>0</v>
      </c>
      <c r="N61">
        <f>CEILING(AI61*Настройки!$O$15*IF(SUM(N36:N56)&gt;0,1,0),Настройки!$Q$15)*A58*H101</f>
        <v>0</v>
      </c>
      <c r="O61">
        <f>CEILING(AJ61*Настройки!$O$15*IF(SUM(O36:O56)&gt;0,1,0),Настройки!$Q$15)*A58*H101</f>
        <v>0</v>
      </c>
      <c r="W61" s="157" t="s">
        <v>659</v>
      </c>
      <c r="X61" s="160"/>
      <c r="AA61" s="190">
        <v>1418.55</v>
      </c>
      <c r="AB61" s="334">
        <v>1418.55</v>
      </c>
      <c r="AC61" s="334">
        <v>2837.1</v>
      </c>
      <c r="AD61" s="334">
        <v>4256.7</v>
      </c>
      <c r="AE61" s="334">
        <v>4523.4000000000005</v>
      </c>
      <c r="AF61" s="334">
        <v>4788</v>
      </c>
      <c r="AG61" s="334">
        <v>5873.4611460000006</v>
      </c>
      <c r="AH61" s="334">
        <v>6996.0292920000002</v>
      </c>
      <c r="AI61" s="334">
        <v>9254.7000000000007</v>
      </c>
      <c r="AJ61" s="334">
        <v>11988.9</v>
      </c>
      <c r="BC61" s="327"/>
    </row>
    <row r="62" spans="1:55" ht="15.75" thickBot="1">
      <c r="B62" s="157" t="s">
        <v>660</v>
      </c>
      <c r="C62" s="160"/>
      <c r="D62">
        <f>CEILING(Y62*Настройки!$O$15*IF(SUM(D36:D56)&gt;0,1,0),Настройки!$Q$15)*A58*H102</f>
        <v>0</v>
      </c>
      <c r="E62">
        <f>CEILING(Z62*Настройки!$O$15*IF(SUM(E36:E56)&gt;0,1,0),Настройки!$Q$15)*A58*H102</f>
        <v>0</v>
      </c>
      <c r="F62">
        <f>CEILING(AA62*Настройки!$O$15*IF(SUM(F36:F56)&gt;0,1,0),Настройки!$Q$15)*A58*H102</f>
        <v>0</v>
      </c>
      <c r="G62">
        <f>CEILING(AB62*Настройки!$O$15*IF(SUM(G36:G56)&gt;0,1,0),Настройки!$Q$15)*A58*H102</f>
        <v>0</v>
      </c>
      <c r="H62">
        <f>CEILING(AC62*Настройки!$O$15*IF(SUM(H36:H56)&gt;0,1,0),Настройки!$Q$15)*A58*H102</f>
        <v>0</v>
      </c>
      <c r="I62">
        <f>CEILING(AD62*Настройки!$O$15*IF(SUM(I36:I56)&gt;0,1,0),Настройки!$Q$15)*A58*H102</f>
        <v>0</v>
      </c>
      <c r="J62">
        <f>CEILING(AE62*Настройки!$O$15*IF(SUM(J36:J56)&gt;0,1,0),Настройки!$Q$15)*A58*H102</f>
        <v>0</v>
      </c>
      <c r="K62">
        <f>CEILING(AF62*Настройки!$O$15*IF(SUM(K36:K56)&gt;0,1,0),Настройки!$Q$15)*A58*H102</f>
        <v>0</v>
      </c>
      <c r="L62">
        <f>CEILING(AG62*Настройки!$O$15*IF(SUM(L36:L56)&gt;0,1,0),Настройки!$Q$15)*A58*H102</f>
        <v>0</v>
      </c>
      <c r="M62">
        <f>CEILING(AH62*Настройки!$O$15*IF(SUM(M36:M56)&gt;0,1,0),Настройки!$Q$15)*A58*H102</f>
        <v>0</v>
      </c>
      <c r="N62">
        <f>CEILING(AI62*Настройки!$O$15*IF(SUM(N36:N56)&gt;0,1,0),Настройки!$Q$15)*A58*H102</f>
        <v>0</v>
      </c>
      <c r="O62">
        <f>CEILING(AJ62*Настройки!$O$15*IF(SUM(O36:O56)&gt;0,1,0),Настройки!$Q$15)*A58*H102</f>
        <v>0</v>
      </c>
      <c r="W62" s="157" t="s">
        <v>660</v>
      </c>
      <c r="X62" s="160"/>
      <c r="AA62" s="190">
        <v>2364.6</v>
      </c>
      <c r="AB62" s="334">
        <v>2364.6</v>
      </c>
      <c r="AC62" s="334">
        <v>4729.2</v>
      </c>
      <c r="AD62" s="334">
        <v>7093.8</v>
      </c>
      <c r="AE62" s="334">
        <v>7124.25</v>
      </c>
      <c r="AF62" s="334">
        <v>7152.6</v>
      </c>
      <c r="AG62" s="334">
        <v>8583.75</v>
      </c>
      <c r="AH62" s="334">
        <v>10429.65</v>
      </c>
      <c r="AI62" s="334">
        <v>13882.050000000001</v>
      </c>
      <c r="AJ62" s="334">
        <v>17983.350000000002</v>
      </c>
      <c r="BC62" s="327"/>
    </row>
    <row r="63" spans="1:55" ht="15.75" thickBot="1">
      <c r="B63" s="157" t="s">
        <v>656</v>
      </c>
      <c r="C63" s="160"/>
      <c r="D63">
        <f>CEILING(Y63*Настройки!$O$15*IF(SUM(D36:D56)&gt;0,1,0),Настройки!$Q$15)*A58*J101</f>
        <v>0</v>
      </c>
      <c r="E63">
        <f>CEILING(Z63*Настройки!$O$15*IF(SUM(E36:E56)&gt;0,1,0),Настройки!$Q$15)*A58*J101</f>
        <v>0</v>
      </c>
      <c r="F63">
        <f>CEILING(AA63*Настройки!$O$15*IF(SUM(F36:F56)&gt;0,1,0),Настройки!$Q$15)*A58*J101</f>
        <v>0</v>
      </c>
      <c r="G63">
        <f>CEILING(AB63*Настройки!$O$15*IF(SUM(G36:G56)&gt;0,1,0),Настройки!$Q$15)*A58*J101</f>
        <v>0</v>
      </c>
      <c r="H63">
        <f>CEILING(AC63*Настройки!$O$15*IF(SUM(H36:H56)&gt;0,1,0),Настройки!$Q$15)*A58*J101</f>
        <v>0</v>
      </c>
      <c r="I63">
        <f>CEILING(AD63*Настройки!$O$15*IF(SUM(I36:I56)&gt;0,1,0),Настройки!$Q$15)*A58*J101</f>
        <v>0</v>
      </c>
      <c r="J63">
        <f>CEILING(AE63*Настройки!$O$15*IF(SUM(J36:J56)&gt;0,1,0),Настройки!$Q$15)*A58*J101</f>
        <v>0</v>
      </c>
      <c r="K63">
        <f>CEILING(AF63*Настройки!$O$15*IF(SUM(K36:K56)&gt;0,1,0),Настройки!$Q$15)*A58*J101</f>
        <v>0</v>
      </c>
      <c r="L63">
        <f>CEILING(AG63*Настройки!$O$15*IF(SUM(L36:L56)&gt;0,1,0),Настройки!$Q$15)*A58*J101</f>
        <v>0</v>
      </c>
      <c r="M63">
        <f>CEILING(AH63*Настройки!$O$15*IF(SUM(M36:M56)&gt;0,1,0),Настройки!$Q$15)*A58*J101</f>
        <v>0</v>
      </c>
      <c r="N63">
        <f>CEILING(AI63*Настройки!$O$15*IF(SUM(N36:N56)&gt;0,1,0),Настройки!$Q$15)*A58*J101</f>
        <v>0</v>
      </c>
      <c r="O63">
        <f>CEILING(AJ63*Настройки!$O$15*IF(SUM(O36:O56)&gt;0,1,0),Настройки!$Q$15)*A58*J101</f>
        <v>0</v>
      </c>
      <c r="W63" s="157" t="s">
        <v>656</v>
      </c>
      <c r="X63" s="160"/>
      <c r="AA63" s="190">
        <v>898.80000000000007</v>
      </c>
      <c r="AB63" s="190">
        <v>1123.5</v>
      </c>
      <c r="AC63" s="190">
        <v>1572.9</v>
      </c>
      <c r="AD63" s="334">
        <v>2023.3500000000001</v>
      </c>
      <c r="AE63" s="334">
        <v>2471.7000000000003</v>
      </c>
      <c r="AF63" s="334">
        <v>2922.15</v>
      </c>
      <c r="AG63" s="334">
        <v>3370.5</v>
      </c>
      <c r="AH63" s="334">
        <v>4270.3500000000004</v>
      </c>
      <c r="AI63" s="334">
        <v>5170.2</v>
      </c>
      <c r="AJ63" s="334">
        <v>9022.65</v>
      </c>
      <c r="BC63" s="327"/>
    </row>
    <row r="64" spans="1:55">
      <c r="B64" s="159" t="s">
        <v>661</v>
      </c>
      <c r="C64" s="164"/>
      <c r="D64">
        <f>CEILING(Y64*Настройки!$O$15*IF(SUM(D36:D56)&gt;0,1,0),Настройки!$Q$15)*A58*J102</f>
        <v>0</v>
      </c>
      <c r="E64">
        <f>CEILING(Z64*Настройки!$O$15*IF(SUM(E36:E56)&gt;0,1,0),Настройки!$Q$15)*A58*J102</f>
        <v>0</v>
      </c>
      <c r="F64">
        <f>CEILING(AA64*Настройки!$O$15*IF(SUM(F36:F56)&gt;0,1,0),Настройки!$Q$15)*A58*J102</f>
        <v>0</v>
      </c>
      <c r="G64">
        <f>CEILING(AB64*Настройки!$O$15*IF(SUM(G36:G56)&gt;0,1,0),Настройки!$Q$15)*A58*J102</f>
        <v>0</v>
      </c>
      <c r="H64">
        <f>CEILING(AC64*Настройки!$O$15*IF(SUM(H36:H56)&gt;0,1,0),Настройки!$Q$15)*A58*J102</f>
        <v>0</v>
      </c>
      <c r="I64">
        <f>CEILING(AD64*Настройки!$O$15*IF(SUM(I36:I56)&gt;0,1,0),Настройки!$Q$15)*A58*J102</f>
        <v>0</v>
      </c>
      <c r="J64">
        <f>CEILING(AE64*Настройки!$O$15*IF(SUM(J36:J56)&gt;0,1,0),Настройки!$Q$15)*A58*J102</f>
        <v>0</v>
      </c>
      <c r="K64">
        <f>CEILING(AF64*Настройки!$O$15*IF(SUM(K36:K56)&gt;0,1,0),Настройки!$Q$15)*A58*J102</f>
        <v>0</v>
      </c>
      <c r="L64">
        <f>CEILING(AG64*Настройки!$O$15*IF(SUM(L36:L56)&gt;0,1,0),Настройки!$Q$15)*A58*J102</f>
        <v>0</v>
      </c>
      <c r="M64">
        <f>CEILING(AH64*Настройки!$O$15*IF(SUM(M36:M56)&gt;0,1,0),Настройки!$Q$15)*A58*J102</f>
        <v>0</v>
      </c>
      <c r="N64">
        <f>CEILING(AI64*Настройки!$O$15*IF(SUM(N36:N56)&gt;0,1,0),Настройки!$Q$15)*A58*J102</f>
        <v>0</v>
      </c>
      <c r="O64">
        <f>CEILING(AJ64*Настройки!$O$15*IF(SUM(O36:O56)&gt;0,1,0),Настройки!$Q$15)*A58*J102</f>
        <v>0</v>
      </c>
      <c r="W64" s="159" t="s">
        <v>661</v>
      </c>
      <c r="X64" s="164"/>
      <c r="AA64" s="190">
        <v>465.15000000000003</v>
      </c>
      <c r="AB64" s="190">
        <v>558.6</v>
      </c>
      <c r="AC64" s="190">
        <v>931.35</v>
      </c>
      <c r="AD64" s="190">
        <v>1396.5</v>
      </c>
      <c r="AE64" s="334">
        <v>1861.65</v>
      </c>
      <c r="AF64" s="334">
        <v>2327.85</v>
      </c>
      <c r="AG64" s="334">
        <v>2793</v>
      </c>
      <c r="AH64" s="334">
        <v>3724.3500000000004</v>
      </c>
      <c r="AI64" s="334">
        <v>4655.7</v>
      </c>
      <c r="AJ64" s="334">
        <v>9310.35</v>
      </c>
      <c r="BC64" s="327"/>
    </row>
    <row r="65" spans="1:55">
      <c r="B65">
        <v>300</v>
      </c>
      <c r="C65">
        <f>SUM(D67:O79)</f>
        <v>0</v>
      </c>
      <c r="D65">
        <f>IF(D66=Печать!$B$29,1,0)</f>
        <v>0</v>
      </c>
      <c r="E65">
        <f>IF(E66=Печать!$B$29,1,0)</f>
        <v>0</v>
      </c>
      <c r="F65">
        <f>IF(F66=Печать!$B$29,1,0)</f>
        <v>1</v>
      </c>
      <c r="G65">
        <f>IF(G66=Печать!$B$29,1,0)</f>
        <v>0</v>
      </c>
      <c r="H65">
        <f>IF(H66=Печать!$B$29,1,0)</f>
        <v>0</v>
      </c>
      <c r="I65">
        <f>IF(I66=Печать!$B$29,1,0)</f>
        <v>0</v>
      </c>
      <c r="J65">
        <f>IF(J66=Печать!$B$29,1,0)</f>
        <v>0</v>
      </c>
      <c r="K65">
        <f>IF(K66=Печать!$B$29,1,0)</f>
        <v>0</v>
      </c>
      <c r="L65">
        <f>IF(L66=Печать!$B$29,1,0)</f>
        <v>0</v>
      </c>
      <c r="M65">
        <f>IF(M66=Печать!$B$29,1,0)</f>
        <v>0</v>
      </c>
      <c r="N65">
        <f>IF(N66=Печать!$B$29,1,0)</f>
        <v>0</v>
      </c>
      <c r="O65">
        <f>IF(O66=Печать!$B$29,1,0)</f>
        <v>0</v>
      </c>
    </row>
    <row r="66" spans="1:55">
      <c r="A66">
        <f>IF(B66=Печать!$A$29,1,0)*IF(C66=Печать!$C$29,1,0)</f>
        <v>0</v>
      </c>
      <c r="B66" s="148" t="s">
        <v>662</v>
      </c>
      <c r="C66" s="149"/>
      <c r="D66" s="149">
        <v>100</v>
      </c>
      <c r="E66" s="149">
        <v>200</v>
      </c>
      <c r="F66" s="149">
        <v>500</v>
      </c>
      <c r="G66" s="149">
        <v>1000</v>
      </c>
      <c r="H66" s="149">
        <v>2000</v>
      </c>
      <c r="I66" s="149">
        <v>3000</v>
      </c>
      <c r="J66" s="149">
        <v>4000</v>
      </c>
      <c r="K66" s="149">
        <v>5000</v>
      </c>
      <c r="L66" s="149">
        <v>6000</v>
      </c>
      <c r="M66" s="149">
        <v>8000</v>
      </c>
      <c r="N66" s="149">
        <v>10000</v>
      </c>
      <c r="O66" s="149">
        <v>20000</v>
      </c>
      <c r="W66" s="148" t="s">
        <v>662</v>
      </c>
      <c r="X66" s="149"/>
      <c r="Y66" s="149">
        <v>100</v>
      </c>
      <c r="Z66" s="149">
        <v>200</v>
      </c>
      <c r="AA66" s="149">
        <v>500</v>
      </c>
      <c r="AB66" s="149">
        <v>1000</v>
      </c>
      <c r="AC66" s="149">
        <v>2000</v>
      </c>
      <c r="AD66" s="149">
        <v>3000</v>
      </c>
      <c r="AE66" s="149">
        <v>4000</v>
      </c>
      <c r="AF66" s="149">
        <v>5000</v>
      </c>
      <c r="AG66" s="149">
        <v>6000</v>
      </c>
      <c r="AH66" s="149">
        <v>8000</v>
      </c>
      <c r="AI66" s="149">
        <v>10000</v>
      </c>
      <c r="AJ66" s="149">
        <v>20000</v>
      </c>
    </row>
    <row r="67" spans="1:55" ht="15.75" thickBot="1">
      <c r="A67">
        <f>IF(B67=Печать!$A$29,1,0)*IF(C67=Печать!$C$29,1,0)*IF($B$65=Печать!$D$29,1,0)</f>
        <v>0</v>
      </c>
      <c r="B67" s="153" t="s">
        <v>663</v>
      </c>
      <c r="C67" s="154" t="s">
        <v>644</v>
      </c>
      <c r="D67" s="154">
        <f>CEILING(Y67*Настройки!$O$15*A67*D$65,Настройки!$Q$15)</f>
        <v>0</v>
      </c>
      <c r="E67" s="154">
        <f>CEILING(Z67*Настройки!$O$15*A67*E$65,Настройки!$Q$15)</f>
        <v>0</v>
      </c>
      <c r="F67" s="154">
        <f>CEILING(AA67*Настройки!$O$15*A67*F$65,Настройки!$Q$15)</f>
        <v>0</v>
      </c>
      <c r="G67" s="154">
        <f>CEILING(AB67*Настройки!$O$15*A67*G$65,Настройки!$Q$15)</f>
        <v>0</v>
      </c>
      <c r="H67" s="154">
        <f>CEILING(AC67*Настройки!$O$15*A67*H$65,Настройки!$Q$15)</f>
        <v>0</v>
      </c>
      <c r="I67" s="154">
        <f>CEILING(AD67*Настройки!$O$15*A67*I$65,Настройки!$Q$15)</f>
        <v>0</v>
      </c>
      <c r="J67" s="154">
        <f>CEILING(AE67*Настройки!$O$15*A67*J$65,Настройки!$Q$15)</f>
        <v>0</v>
      </c>
      <c r="K67" s="154">
        <f>CEILING(AF67*Настройки!$O$15*A67*K$65,Настройки!$Q$15)</f>
        <v>0</v>
      </c>
      <c r="L67" s="154">
        <f>CEILING(AG67*Настройки!$O$15*A67*L$65,Настройки!$Q$15)</f>
        <v>0</v>
      </c>
      <c r="M67" s="154">
        <f>CEILING(AH67*Настройки!$O$15*A67*M$65,Настройки!$Q$15)</f>
        <v>0</v>
      </c>
      <c r="N67" s="154">
        <f>CEILING(AI67*Настройки!$O$15*A67*N$65,Настройки!$Q$15)</f>
        <v>0</v>
      </c>
      <c r="O67" s="154">
        <f>CEILING(AJ67*Настройки!$O$15*A67*O$65,Настройки!$Q$15)</f>
        <v>0</v>
      </c>
      <c r="W67" s="153" t="s">
        <v>663</v>
      </c>
      <c r="X67" s="154" t="s">
        <v>644</v>
      </c>
      <c r="Y67" s="190">
        <v>1026.9000000000001</v>
      </c>
      <c r="Z67" s="190">
        <v>1126.6500000000001</v>
      </c>
      <c r="AA67" s="190">
        <v>1271.55</v>
      </c>
      <c r="AB67" s="334">
        <v>1439.55</v>
      </c>
      <c r="AC67" s="334">
        <v>2115.75</v>
      </c>
      <c r="AD67" s="334">
        <v>3265.5</v>
      </c>
      <c r="AE67" s="334">
        <v>3915.4500000000003</v>
      </c>
      <c r="AF67" s="334">
        <v>5638.5</v>
      </c>
      <c r="AG67" s="334">
        <v>6501.6</v>
      </c>
      <c r="AH67" s="334">
        <v>8225.7000000000007</v>
      </c>
      <c r="AI67" s="334">
        <v>10046.4</v>
      </c>
      <c r="AJ67" s="334">
        <v>20093.850000000002</v>
      </c>
    </row>
    <row r="68" spans="1:55" ht="15.75" thickBot="1">
      <c r="A68">
        <f>IF(B68=Печать!$A$29,1,0)*IF(C68=Печать!$C$29,1,0)*IF($B$65=Печать!$D$29,1,0)</f>
        <v>0</v>
      </c>
      <c r="B68" s="155" t="s">
        <v>663</v>
      </c>
      <c r="C68" s="156" t="s">
        <v>646</v>
      </c>
      <c r="D68" s="154">
        <f>CEILING(Y68*Настройки!$O$15*A68*D$65,Настройки!$Q$15)</f>
        <v>0</v>
      </c>
      <c r="E68" s="154">
        <f>CEILING(Z68*Настройки!$O$15*A68*E$65,Настройки!$Q$15)</f>
        <v>0</v>
      </c>
      <c r="F68" s="154">
        <f>CEILING(AA68*Настройки!$O$15*A68*F$65,Настройки!$Q$15)</f>
        <v>0</v>
      </c>
      <c r="G68" s="154">
        <f>CEILING(AB68*Настройки!$O$15*A68*G$65,Настройки!$Q$15)</f>
        <v>0</v>
      </c>
      <c r="H68" s="154">
        <f>CEILING(AC68*Настройки!$O$15*A68*H$65,Настройки!$Q$15)</f>
        <v>0</v>
      </c>
      <c r="I68" s="154">
        <f>CEILING(AD68*Настройки!$O$15*A68*I$65,Настройки!$Q$15)</f>
        <v>0</v>
      </c>
      <c r="J68" s="154">
        <f>CEILING(AE68*Настройки!$O$15*A68*J$65,Настройки!$Q$15)</f>
        <v>0</v>
      </c>
      <c r="K68" s="154">
        <f>CEILING(AF68*Настройки!$O$15*A68*K$65,Настройки!$Q$15)</f>
        <v>0</v>
      </c>
      <c r="L68" s="154">
        <f>CEILING(AG68*Настройки!$O$15*A68*L$65,Настройки!$Q$15)</f>
        <v>0</v>
      </c>
      <c r="M68" s="154">
        <f>CEILING(AH68*Настройки!$O$15*A68*M$65,Настройки!$Q$15)</f>
        <v>0</v>
      </c>
      <c r="N68" s="154">
        <f>CEILING(AI68*Настройки!$O$15*A68*N$65,Настройки!$Q$15)</f>
        <v>0</v>
      </c>
      <c r="O68" s="154">
        <f>CEILING(AJ68*Настройки!$O$15*A68*O$65,Настройки!$Q$15)</f>
        <v>0</v>
      </c>
      <c r="W68" s="155" t="s">
        <v>663</v>
      </c>
      <c r="X68" s="156" t="s">
        <v>646</v>
      </c>
      <c r="Y68" s="190">
        <v>706.65</v>
      </c>
      <c r="Z68" s="190">
        <v>805.35</v>
      </c>
      <c r="AA68" s="190">
        <v>989.1</v>
      </c>
      <c r="AB68" s="190">
        <v>1205.4000000000001</v>
      </c>
      <c r="AC68" s="334">
        <v>1814.4</v>
      </c>
      <c r="AD68" s="334">
        <v>2720.55</v>
      </c>
      <c r="AE68" s="334">
        <v>3326.4</v>
      </c>
      <c r="AF68" s="334">
        <v>4730.25</v>
      </c>
      <c r="AG68" s="334">
        <v>5376</v>
      </c>
      <c r="AH68" s="334">
        <v>6668.55</v>
      </c>
      <c r="AI68" s="334">
        <v>8036.7000000000007</v>
      </c>
      <c r="AJ68" s="334">
        <v>16073.400000000001</v>
      </c>
      <c r="BC68" s="327"/>
    </row>
    <row r="69" spans="1:55" ht="15.75" thickBot="1">
      <c r="A69">
        <f>IF(B69=Печать!$A$29,1,0)*IF(C69=Печать!$C$29,1,0)*IF($B$65=Печать!$D$29,1,0)</f>
        <v>0</v>
      </c>
      <c r="B69" s="152" t="s">
        <v>664</v>
      </c>
      <c r="C69" s="169" t="s">
        <v>644</v>
      </c>
      <c r="D69" s="154">
        <f>CEILING(Y69*Настройки!$O$15*A69*D$65,Настройки!$Q$15)</f>
        <v>0</v>
      </c>
      <c r="E69" s="154">
        <f>CEILING(Z69*Настройки!$O$15*A69*E$65,Настройки!$Q$15)</f>
        <v>0</v>
      </c>
      <c r="F69" s="154">
        <f>CEILING(AA69*Настройки!$O$15*A69*F$65,Настройки!$Q$15)</f>
        <v>0</v>
      </c>
      <c r="G69" s="154">
        <f>CEILING(AB69*Настройки!$O$15*A69*G$65,Настройки!$Q$15)</f>
        <v>0</v>
      </c>
      <c r="H69" s="154">
        <f>CEILING(AC69*Настройки!$O$15*A69*H$65,Настройки!$Q$15)</f>
        <v>0</v>
      </c>
      <c r="I69" s="154">
        <f>CEILING(AD69*Настройки!$O$15*A69*I$65,Настройки!$Q$15)</f>
        <v>0</v>
      </c>
      <c r="J69" s="154">
        <f>CEILING(AE69*Настройки!$O$15*A69*J$65,Настройки!$Q$15)</f>
        <v>0</v>
      </c>
      <c r="K69" s="154">
        <f>CEILING(AF69*Настройки!$O$15*A69*K$65,Настройки!$Q$15)</f>
        <v>0</v>
      </c>
      <c r="L69" s="154">
        <f>CEILING(AG69*Настройки!$O$15*A69*L$65,Настройки!$Q$15)</f>
        <v>0</v>
      </c>
      <c r="M69" s="154">
        <f>CEILING(AH69*Настройки!$O$15*A69*M$65,Настройки!$Q$15)</f>
        <v>0</v>
      </c>
      <c r="N69" s="154">
        <f>CEILING(AI69*Настройки!$O$15*A69*N$65,Настройки!$Q$15)</f>
        <v>0</v>
      </c>
      <c r="O69" s="154">
        <f>CEILING(AJ69*Настройки!$O$15*A69*O$65,Настройки!$Q$15)</f>
        <v>0</v>
      </c>
      <c r="W69" s="152" t="s">
        <v>664</v>
      </c>
      <c r="X69" s="169" t="s">
        <v>644</v>
      </c>
      <c r="Y69" s="190">
        <v>1086.75</v>
      </c>
      <c r="Z69" s="190">
        <v>1193.8500000000001</v>
      </c>
      <c r="AA69" s="190">
        <v>1355.55</v>
      </c>
      <c r="AB69" s="334">
        <v>1670.5500000000002</v>
      </c>
      <c r="AC69" s="334">
        <v>2418.15</v>
      </c>
      <c r="AD69" s="334">
        <v>3505.9500000000003</v>
      </c>
      <c r="AE69" s="334">
        <v>4311.3</v>
      </c>
      <c r="AF69" s="334">
        <v>5904.1500000000005</v>
      </c>
      <c r="AG69" s="334">
        <v>6873.3</v>
      </c>
      <c r="AH69" s="334">
        <v>8810.5500000000011</v>
      </c>
      <c r="AI69" s="334">
        <v>10850.7</v>
      </c>
      <c r="AJ69" s="334">
        <v>21701.4</v>
      </c>
      <c r="BC69" s="327"/>
    </row>
    <row r="70" spans="1:55" ht="15.75" thickBot="1">
      <c r="A70">
        <f>IF(B70=Печать!$A$29,1,0)*IF(C70=Печать!$C$29,1,0)*IF($B$65=Печать!$D$29,1,0)</f>
        <v>0</v>
      </c>
      <c r="B70" s="153" t="s">
        <v>665</v>
      </c>
      <c r="C70" s="154" t="s">
        <v>646</v>
      </c>
      <c r="D70" s="154">
        <f>CEILING(Y70*Настройки!$O$15*A70*D$65,Настройки!$Q$15)</f>
        <v>0</v>
      </c>
      <c r="E70" s="154">
        <f>CEILING(Z70*Настройки!$O$15*A70*E$65,Настройки!$Q$15)</f>
        <v>0</v>
      </c>
      <c r="F70" s="154">
        <f>CEILING(AA70*Настройки!$O$15*A70*F$65,Настройки!$Q$15)</f>
        <v>0</v>
      </c>
      <c r="G70" s="154">
        <f>CEILING(AB70*Настройки!$O$15*A70*G$65,Настройки!$Q$15)</f>
        <v>0</v>
      </c>
      <c r="H70" s="154">
        <f>CEILING(AC70*Настройки!$O$15*A70*H$65,Настройки!$Q$15)</f>
        <v>0</v>
      </c>
      <c r="I70" s="154">
        <f>CEILING(AD70*Настройки!$O$15*A70*I$65,Настройки!$Q$15)</f>
        <v>0</v>
      </c>
      <c r="J70" s="154">
        <f>CEILING(AE70*Настройки!$O$15*A70*J$65,Настройки!$Q$15)</f>
        <v>0</v>
      </c>
      <c r="K70" s="154">
        <f>CEILING(AF70*Настройки!$O$15*A70*K$65,Настройки!$Q$15)</f>
        <v>0</v>
      </c>
      <c r="L70" s="154"/>
      <c r="M70" s="154"/>
      <c r="N70" s="154"/>
      <c r="O70" s="154"/>
      <c r="W70" s="153" t="s">
        <v>665</v>
      </c>
      <c r="X70" s="154" t="s">
        <v>646</v>
      </c>
      <c r="Y70" s="190">
        <v>815.85</v>
      </c>
      <c r="Z70" s="190">
        <v>930.30000000000007</v>
      </c>
      <c r="AA70" s="190">
        <v>1095.1500000000001</v>
      </c>
      <c r="AB70" s="334">
        <v>1388.1000000000001</v>
      </c>
      <c r="AC70" s="334">
        <v>2085.3000000000002</v>
      </c>
      <c r="AD70" s="334">
        <v>3133.2000000000003</v>
      </c>
      <c r="AE70" s="334">
        <v>3909.15</v>
      </c>
      <c r="AF70" s="334">
        <v>5182.8</v>
      </c>
      <c r="AG70" s="334">
        <v>6082.6500000000005</v>
      </c>
      <c r="AH70" s="334">
        <v>7886.55</v>
      </c>
      <c r="AI70" s="334">
        <v>9790.2000000000007</v>
      </c>
      <c r="AJ70" s="334">
        <v>19580.400000000001</v>
      </c>
      <c r="BC70" s="327"/>
    </row>
    <row r="71" spans="1:55" ht="15.75" thickBot="1">
      <c r="A71">
        <f>IF(B71=Печать!$A$29,1,0)*IF(C71=Печать!$C$29,1,0)*IF($B$65=Печать!$D$29,1,0)</f>
        <v>0</v>
      </c>
      <c r="B71" s="155" t="s">
        <v>647</v>
      </c>
      <c r="C71" s="156" t="s">
        <v>644</v>
      </c>
      <c r="D71" s="154">
        <f>CEILING(Y71*Настройки!$O$15*A71*D$65,Настройки!$Q$15)</f>
        <v>0</v>
      </c>
      <c r="E71" s="154">
        <f>CEILING(Z71*Настройки!$O$15*A71*E$65,Настройки!$Q$15)</f>
        <v>0</v>
      </c>
      <c r="F71" s="154">
        <f>CEILING(AA71*Настройки!$O$15*A71*F$65,Настройки!$Q$15)</f>
        <v>0</v>
      </c>
      <c r="G71" s="154">
        <f>CEILING(AB71*Настройки!$O$15*A71*G$65,Настройки!$Q$15)</f>
        <v>0</v>
      </c>
      <c r="H71" s="154">
        <f>CEILING(AC71*Настройки!$O$15*A71*H$65,Настройки!$Q$15)</f>
        <v>0</v>
      </c>
      <c r="I71" s="154">
        <f>CEILING(AD71*Настройки!$O$15*A71*I$65,Настройки!$Q$15)</f>
        <v>0</v>
      </c>
      <c r="J71" s="154">
        <f>CEILING(AE71*Настройки!$O$15*A71*J$65,Настройки!$Q$15)</f>
        <v>0</v>
      </c>
      <c r="K71" s="154">
        <f>CEILING(AF71*Настройки!$O$15*A71*K$65,Настройки!$Q$15)</f>
        <v>0</v>
      </c>
      <c r="L71" s="154">
        <f>CEILING(AG71*Настройки!$O$15*A71*L$65,Настройки!$Q$15)</f>
        <v>0</v>
      </c>
      <c r="M71" s="154">
        <f>CEILING(AH71*Настройки!$O$15*A71*M$65,Настройки!$Q$15)</f>
        <v>0</v>
      </c>
      <c r="N71" s="154">
        <f>CEILING(AI71*Настройки!$O$15*A71*N$65,Настройки!$Q$15)</f>
        <v>0</v>
      </c>
      <c r="O71" s="154">
        <f>CEILING(AJ71*Настройки!$O$15*A71*O$65,Настройки!$Q$15)</f>
        <v>0</v>
      </c>
      <c r="W71" s="155" t="s">
        <v>647</v>
      </c>
      <c r="X71" s="156" t="s">
        <v>644</v>
      </c>
      <c r="Y71" s="334">
        <v>8904</v>
      </c>
      <c r="Z71" s="334">
        <v>9774.4500000000007</v>
      </c>
      <c r="AA71" s="334">
        <v>11158.35</v>
      </c>
      <c r="AB71" s="334">
        <v>12409.95</v>
      </c>
      <c r="AC71" s="334">
        <v>18972.45</v>
      </c>
      <c r="AD71" s="334">
        <v>23001.3</v>
      </c>
      <c r="AE71" s="334">
        <v>27445.95</v>
      </c>
      <c r="AF71" s="334">
        <v>36567.300000000003</v>
      </c>
      <c r="AG71" s="334">
        <v>42821.1</v>
      </c>
      <c r="AH71" s="334">
        <v>53658.15</v>
      </c>
      <c r="AI71" s="334">
        <v>64495.200000000004</v>
      </c>
      <c r="AJ71" s="334">
        <v>106115.1</v>
      </c>
      <c r="BC71" s="327"/>
    </row>
    <row r="72" spans="1:55" ht="15.75" thickBot="1">
      <c r="A72">
        <f>IF(B72=Печать!$A$29,1,0)*IF(C72=Печать!$C$29,1,0)*IF($B$65=Печать!$D$29,1,0)</f>
        <v>0</v>
      </c>
      <c r="B72" s="153" t="s">
        <v>647</v>
      </c>
      <c r="C72" s="154" t="s">
        <v>646</v>
      </c>
      <c r="D72" s="154">
        <f>CEILING(Y72*Настройки!$O$15*A72*D$65,Настройки!$Q$15)</f>
        <v>0</v>
      </c>
      <c r="E72" s="154">
        <f>CEILING(Z72*Настройки!$O$15*A72*E$65,Настройки!$Q$15)</f>
        <v>0</v>
      </c>
      <c r="F72" s="154">
        <f>CEILING(AA72*Настройки!$O$15*A72*F$65,Настройки!$Q$15)</f>
        <v>0</v>
      </c>
      <c r="G72" s="154">
        <f>CEILING(AB72*Настройки!$O$15*A72*G$65,Настройки!$Q$15)</f>
        <v>0</v>
      </c>
      <c r="H72" s="154">
        <f>CEILING(AC72*Настройки!$O$15*A72*H$65,Настройки!$Q$15)</f>
        <v>0</v>
      </c>
      <c r="I72" s="154">
        <f>CEILING(AD72*Настройки!$O$15*A72*I$65,Настройки!$Q$15)</f>
        <v>0</v>
      </c>
      <c r="J72" s="154">
        <f>CEILING(AE72*Настройки!$O$15*A72*J$65,Настройки!$Q$15)</f>
        <v>0</v>
      </c>
      <c r="K72" s="154">
        <f>CEILING(AF72*Настройки!$O$15*A72*K$65,Настройки!$Q$15)</f>
        <v>0</v>
      </c>
      <c r="L72" s="154">
        <f>CEILING(AG72*Настройки!$O$15*A72*L$65,Настройки!$Q$15)</f>
        <v>0</v>
      </c>
      <c r="M72" s="154">
        <f>CEILING(AH72*Настройки!$O$15*A72*M$65,Настройки!$Q$15)</f>
        <v>0</v>
      </c>
      <c r="N72" s="154">
        <f>CEILING(AI72*Настройки!$O$15*A72*N$65,Настройки!$Q$15)</f>
        <v>0</v>
      </c>
      <c r="O72" s="154">
        <f>CEILING(AJ72*Настройки!$O$15*A72*O$65,Настройки!$Q$15)</f>
        <v>0</v>
      </c>
      <c r="W72" s="153" t="s">
        <v>647</v>
      </c>
      <c r="X72" s="154" t="s">
        <v>646</v>
      </c>
      <c r="Y72" s="334">
        <v>7322.7000000000007</v>
      </c>
      <c r="Z72" s="334">
        <v>8342.25</v>
      </c>
      <c r="AA72" s="334">
        <v>10439.1</v>
      </c>
      <c r="AB72" s="334">
        <v>11863.95</v>
      </c>
      <c r="AC72" s="334">
        <v>18400.2</v>
      </c>
      <c r="AD72" s="334">
        <v>21890.400000000001</v>
      </c>
      <c r="AE72" s="334">
        <v>25335.45</v>
      </c>
      <c r="AF72" s="334">
        <v>32771.550000000003</v>
      </c>
      <c r="AG72" s="334">
        <v>39181.800000000003</v>
      </c>
      <c r="AH72" s="334">
        <v>50507.1</v>
      </c>
      <c r="AI72" s="334">
        <v>61830.3</v>
      </c>
      <c r="AJ72" s="334">
        <v>93668.400000000009</v>
      </c>
      <c r="BC72" s="327"/>
    </row>
    <row r="73" spans="1:55" ht="15.75" thickBot="1">
      <c r="A73">
        <f>IF(B73=Печать!$A$29,1,0)*IF(C73=Печать!$C$29,1,0)*IF($B$65=Печать!$D$29,1,0)</f>
        <v>0</v>
      </c>
      <c r="B73" s="155" t="s">
        <v>648</v>
      </c>
      <c r="C73" s="156" t="s">
        <v>644</v>
      </c>
      <c r="D73" s="154">
        <f>CEILING(Y73*Настройки!$O$15*A73*D$65,Настройки!$Q$15)</f>
        <v>0</v>
      </c>
      <c r="E73" s="154">
        <f>CEILING(Z73*Настройки!$O$15*A73*E$65,Настройки!$Q$15)</f>
        <v>0</v>
      </c>
      <c r="F73" s="154">
        <f>CEILING(AA73*Настройки!$O$15*A73*F$65,Настройки!$Q$15)</f>
        <v>0</v>
      </c>
      <c r="G73" s="154">
        <f>CEILING(AB73*Настройки!$O$15*A73*G$65,Настройки!$Q$15)</f>
        <v>0</v>
      </c>
      <c r="H73" s="154">
        <f>CEILING(AC73*Настройки!$O$15*A73*H$65,Настройки!$Q$15)</f>
        <v>0</v>
      </c>
      <c r="I73" s="154">
        <f>CEILING(AD73*Настройки!$O$15*A73*I$65,Настройки!$Q$15)</f>
        <v>0</v>
      </c>
      <c r="J73" s="154">
        <f>CEILING(AE73*Настройки!$O$15*A73*J$65,Настройки!$Q$15)</f>
        <v>0</v>
      </c>
      <c r="K73" s="154">
        <f>CEILING(AF73*Настройки!$O$15*A73*K$65,Настройки!$Q$15)</f>
        <v>0</v>
      </c>
      <c r="L73" s="154">
        <f>CEILING(AG73*Настройки!$O$15*A73*L$65,Настройки!$Q$15)</f>
        <v>0</v>
      </c>
      <c r="M73" s="154">
        <f>CEILING(AH73*Настройки!$O$15*A73*M$65,Настройки!$Q$15)</f>
        <v>0</v>
      </c>
      <c r="N73" s="154">
        <f>CEILING(AI73*Настройки!$O$15*A73*N$65,Настройки!$Q$15)</f>
        <v>0</v>
      </c>
      <c r="O73" s="154">
        <f>CEILING(AJ73*Настройки!$O$15*A73*O$65,Настройки!$Q$15)</f>
        <v>0</v>
      </c>
      <c r="W73" s="155" t="s">
        <v>648</v>
      </c>
      <c r="X73" s="156" t="s">
        <v>644</v>
      </c>
      <c r="Y73" s="334">
        <v>4550.7</v>
      </c>
      <c r="Z73" s="334">
        <v>4995.9000000000005</v>
      </c>
      <c r="AA73" s="334">
        <v>5687.85</v>
      </c>
      <c r="AB73" s="334">
        <v>6325.2</v>
      </c>
      <c r="AC73" s="334">
        <v>9579.15</v>
      </c>
      <c r="AD73" s="334">
        <v>11611.95</v>
      </c>
      <c r="AE73" s="334">
        <v>13855.800000000001</v>
      </c>
      <c r="AF73" s="334">
        <v>18460.05</v>
      </c>
      <c r="AG73" s="334">
        <v>21136.5</v>
      </c>
      <c r="AH73" s="334">
        <v>26485.200000000001</v>
      </c>
      <c r="AI73" s="334">
        <v>32140.5</v>
      </c>
      <c r="AJ73" s="334">
        <v>64281</v>
      </c>
      <c r="BC73" s="327"/>
    </row>
    <row r="74" spans="1:55" ht="15.75" thickBot="1">
      <c r="A74">
        <f>IF(B74=Печать!$A$29,1,0)*IF(C74=Печать!$C$29,1,0)*IF($B$65=Печать!$D$29,1,0)</f>
        <v>0</v>
      </c>
      <c r="B74" s="153" t="s">
        <v>648</v>
      </c>
      <c r="C74" s="154" t="s">
        <v>646</v>
      </c>
      <c r="D74" s="154">
        <f>CEILING(Y74*Настройки!$O$15*A74*D$65,Настройки!$Q$15)</f>
        <v>0</v>
      </c>
      <c r="E74" s="154">
        <f>CEILING(Z74*Настройки!$O$15*A74*E$65,Настройки!$Q$15)</f>
        <v>0</v>
      </c>
      <c r="F74" s="154">
        <f>CEILING(AA74*Настройки!$O$15*A74*F$65,Настройки!$Q$15)</f>
        <v>0</v>
      </c>
      <c r="G74" s="154">
        <f>CEILING(AB74*Настройки!$O$15*A74*G$65,Настройки!$Q$15)</f>
        <v>0</v>
      </c>
      <c r="H74" s="154">
        <f>CEILING(AC74*Настройки!$O$15*A74*H$65,Настройки!$Q$15)</f>
        <v>0</v>
      </c>
      <c r="I74" s="154">
        <f>CEILING(AD74*Настройки!$O$15*A74*I$65,Настройки!$Q$15)</f>
        <v>0</v>
      </c>
      <c r="J74" s="154">
        <f>CEILING(AE74*Настройки!$O$15*A74*J$65,Настройки!$Q$15)</f>
        <v>0</v>
      </c>
      <c r="K74" s="154">
        <f>CEILING(AF74*Настройки!$O$15*A74*K$65,Настройки!$Q$15)</f>
        <v>0</v>
      </c>
      <c r="L74" s="154">
        <f>CEILING(AG74*Настройки!$O$15*A74*L$65,Настройки!$Q$15)</f>
        <v>0</v>
      </c>
      <c r="M74" s="154">
        <f>CEILING(AH74*Настройки!$O$15*A74*M$65,Настройки!$Q$15)</f>
        <v>0</v>
      </c>
      <c r="N74" s="154">
        <f>CEILING(AI74*Настройки!$O$15*A74*N$65,Настройки!$Q$15)</f>
        <v>0</v>
      </c>
      <c r="O74" s="154">
        <f>CEILING(AJ74*Настройки!$O$15*A74*O$65,Настройки!$Q$15)</f>
        <v>0</v>
      </c>
      <c r="W74" s="153" t="s">
        <v>648</v>
      </c>
      <c r="X74" s="154" t="s">
        <v>646</v>
      </c>
      <c r="Y74" s="334">
        <v>3749.55</v>
      </c>
      <c r="Z74" s="334">
        <v>4272.45</v>
      </c>
      <c r="AA74" s="334">
        <v>5320.35</v>
      </c>
      <c r="AB74" s="334">
        <v>6048</v>
      </c>
      <c r="AC74" s="334">
        <v>9378.6</v>
      </c>
      <c r="AD74" s="334">
        <v>11050.2</v>
      </c>
      <c r="AE74" s="334">
        <v>12790.050000000001</v>
      </c>
      <c r="AF74" s="334">
        <v>16544.850000000002</v>
      </c>
      <c r="AG74" s="334">
        <v>19339.95</v>
      </c>
      <c r="AH74" s="334">
        <v>24928.05</v>
      </c>
      <c r="AI74" s="334">
        <v>30811.200000000001</v>
      </c>
      <c r="AJ74" s="334">
        <v>61623.450000000004</v>
      </c>
      <c r="BC74" s="327"/>
    </row>
    <row r="75" spans="1:55" ht="15.75" thickBot="1">
      <c r="A75">
        <f>IF(B75=Печать!$A$29,1,0)*IF(C75=Печать!$C$29,1,0)*IF($B$65=Печать!$D$29,1,0)</f>
        <v>0</v>
      </c>
      <c r="B75" s="155" t="s">
        <v>649</v>
      </c>
      <c r="C75" s="156" t="s">
        <v>644</v>
      </c>
      <c r="D75" s="154">
        <f>CEILING(Y75*Настройки!$O$15*A75*D$65,Настройки!$Q$15)</f>
        <v>0</v>
      </c>
      <c r="E75" s="154">
        <f>CEILING(Z75*Настройки!$O$15*A75*E$65,Настройки!$Q$15)</f>
        <v>0</v>
      </c>
      <c r="F75" s="154">
        <f>CEILING(AA75*Настройки!$O$15*A75*F$65,Настройки!$Q$15)</f>
        <v>0</v>
      </c>
      <c r="G75" s="154">
        <f>CEILING(AB75*Настройки!$O$15*A75*G$65,Настройки!$Q$15)</f>
        <v>0</v>
      </c>
      <c r="H75" s="154">
        <f>CEILING(AC75*Настройки!$O$15*A75*H$65,Настройки!$Q$15)</f>
        <v>0</v>
      </c>
      <c r="I75" s="154">
        <f>CEILING(AD75*Настройки!$O$15*A75*I$65,Настройки!$Q$15)</f>
        <v>0</v>
      </c>
      <c r="J75" s="154">
        <f>CEILING(AE75*Настройки!$O$15*A75*J$65,Настройки!$Q$15)</f>
        <v>0</v>
      </c>
      <c r="K75" s="154">
        <f>CEILING(AF75*Настройки!$O$15*A75*K$65,Настройки!$Q$15)</f>
        <v>0</v>
      </c>
      <c r="L75" s="154">
        <f>CEILING(AG75*Настройки!$O$15*A75*L$65,Настройки!$Q$15)</f>
        <v>0</v>
      </c>
      <c r="M75" s="154">
        <f>CEILING(AH75*Настройки!$O$15*A75*M$65,Настройки!$Q$15)</f>
        <v>0</v>
      </c>
      <c r="N75" s="154">
        <f>CEILING(AI75*Настройки!$O$15*A75*N$65,Настройки!$Q$15)</f>
        <v>0</v>
      </c>
      <c r="O75" s="154">
        <f>CEILING(AJ75*Настройки!$O$15*A75*O$65,Настройки!$Q$15)</f>
        <v>0</v>
      </c>
      <c r="W75" s="155" t="s">
        <v>649</v>
      </c>
      <c r="X75" s="156" t="s">
        <v>644</v>
      </c>
      <c r="Y75" s="334">
        <v>2699.55</v>
      </c>
      <c r="Z75" s="334">
        <v>2963.1</v>
      </c>
      <c r="AA75" s="334">
        <v>3365.25</v>
      </c>
      <c r="AB75" s="334">
        <v>3685.5</v>
      </c>
      <c r="AC75" s="334">
        <v>4659.9000000000005</v>
      </c>
      <c r="AD75" s="334">
        <v>6117.3</v>
      </c>
      <c r="AE75" s="334">
        <v>7340.55</v>
      </c>
      <c r="AF75" s="334">
        <v>9817.5</v>
      </c>
      <c r="AG75" s="334">
        <v>11304.300000000001</v>
      </c>
      <c r="AH75" s="334">
        <v>14488.95</v>
      </c>
      <c r="AI75" s="334">
        <v>17800.650000000001</v>
      </c>
      <c r="AJ75" s="334">
        <v>35602.35</v>
      </c>
      <c r="BC75" s="327"/>
    </row>
    <row r="76" spans="1:55" ht="15.75" thickBot="1">
      <c r="A76">
        <f>IF(B76=Печать!$A$29,1,0)*IF(C76=Печать!$C$29,1,0)*IF($B$65=Печать!$D$29,1,0)</f>
        <v>0</v>
      </c>
      <c r="B76" s="153" t="s">
        <v>649</v>
      </c>
      <c r="C76" s="154" t="s">
        <v>646</v>
      </c>
      <c r="D76" s="154">
        <f>CEILING(Y76*Настройки!$O$15*A76*D$65,Настройки!$Q$15)</f>
        <v>0</v>
      </c>
      <c r="E76" s="154">
        <f>CEILING(Z76*Настройки!$O$15*A76*E$65,Настройки!$Q$15)</f>
        <v>0</v>
      </c>
      <c r="F76" s="154">
        <f>CEILING(AA76*Настройки!$O$15*A76*F$65,Настройки!$Q$15)</f>
        <v>0</v>
      </c>
      <c r="G76" s="154">
        <f>CEILING(AB76*Настройки!$O$15*A76*G$65,Настройки!$Q$15)</f>
        <v>0</v>
      </c>
      <c r="H76" s="154">
        <f>CEILING(AC76*Настройки!$O$15*A76*H$65,Настройки!$Q$15)</f>
        <v>0</v>
      </c>
      <c r="I76" s="154">
        <f>CEILING(AD76*Настройки!$O$15*A76*I$65,Настройки!$Q$15)</f>
        <v>0</v>
      </c>
      <c r="J76" s="154">
        <f>CEILING(AE76*Настройки!$O$15*A76*J$65,Настройки!$Q$15)</f>
        <v>0</v>
      </c>
      <c r="K76" s="154">
        <f>CEILING(AF76*Настройки!$O$15*A76*K$65,Настройки!$Q$15)</f>
        <v>0</v>
      </c>
      <c r="L76" s="154">
        <f>CEILING(AG76*Настройки!$O$15*A76*L$65,Настройки!$Q$15)</f>
        <v>0</v>
      </c>
      <c r="M76" s="154">
        <f>CEILING(AH76*Настройки!$O$15*A76*M$65,Настройки!$Q$15)</f>
        <v>0</v>
      </c>
      <c r="N76" s="154">
        <f>CEILING(AI76*Настройки!$O$15*A76*N$65,Настройки!$Q$15)</f>
        <v>0</v>
      </c>
      <c r="O76" s="154">
        <f>CEILING(AJ76*Настройки!$O$15*A76*O$65,Настройки!$Q$15)</f>
        <v>0</v>
      </c>
      <c r="W76" s="153" t="s">
        <v>649</v>
      </c>
      <c r="X76" s="154" t="s">
        <v>646</v>
      </c>
      <c r="Y76" s="334">
        <v>2117.85</v>
      </c>
      <c r="Z76" s="334">
        <v>2412.9</v>
      </c>
      <c r="AA76" s="334">
        <v>2991.4500000000003</v>
      </c>
      <c r="AB76" s="334">
        <v>3225.6000000000004</v>
      </c>
      <c r="AC76" s="334">
        <v>4368</v>
      </c>
      <c r="AD76" s="334">
        <v>5943</v>
      </c>
      <c r="AE76" s="334">
        <v>7107.4500000000007</v>
      </c>
      <c r="AF76" s="334">
        <v>9685.2000000000007</v>
      </c>
      <c r="AG76" s="334">
        <v>11048.1</v>
      </c>
      <c r="AH76" s="334">
        <v>13955.550000000001</v>
      </c>
      <c r="AI76" s="334">
        <v>17026.8</v>
      </c>
      <c r="AJ76" s="334">
        <v>34053.599999999999</v>
      </c>
      <c r="BC76" s="327"/>
    </row>
    <row r="77" spans="1:55" ht="15.75" thickBot="1">
      <c r="A77">
        <f>IF(B77=Печать!$A$29,1,0)*IF(C77=Печать!$C$29,1,0)*IF($B$65=Печать!$D$29,1,0)</f>
        <v>0</v>
      </c>
      <c r="B77" s="155" t="s">
        <v>651</v>
      </c>
      <c r="C77" s="156" t="s">
        <v>644</v>
      </c>
      <c r="D77" s="154">
        <f>CEILING(Y77*Настройки!$O$15*A77*D$65,Настройки!$Q$15)</f>
        <v>0</v>
      </c>
      <c r="E77" s="154">
        <f>CEILING(Z77*Настройки!$O$15*A77*E$65,Настройки!$Q$15)</f>
        <v>0</v>
      </c>
      <c r="F77" s="154">
        <f>CEILING(AA77*Настройки!$O$15*A77*F$65,Настройки!$Q$15)</f>
        <v>0</v>
      </c>
      <c r="G77" s="154">
        <f>CEILING(AB77*Настройки!$O$15*A77*G$65,Настройки!$Q$15)</f>
        <v>0</v>
      </c>
      <c r="H77" s="154">
        <f>CEILING(AC77*Настройки!$O$15*A77*H$65,Настройки!$Q$15)</f>
        <v>0</v>
      </c>
      <c r="I77" s="154">
        <f>CEILING(AD77*Настройки!$O$15*A77*I$65,Настройки!$Q$15)</f>
        <v>0</v>
      </c>
      <c r="J77" s="154">
        <f>CEILING(AE77*Настройки!$O$15*A77*J$65,Настройки!$Q$15)</f>
        <v>0</v>
      </c>
      <c r="K77" s="154">
        <f>CEILING(AF77*Настройки!$O$15*A77*K$65,Настройки!$Q$15)</f>
        <v>0</v>
      </c>
      <c r="L77" s="154">
        <f>CEILING(AG77*Настройки!$O$15*A77*L$65,Настройки!$Q$15)</f>
        <v>0</v>
      </c>
      <c r="M77" s="154">
        <f>CEILING(AH77*Настройки!$O$15*A77*M$65,Настройки!$Q$15)</f>
        <v>0</v>
      </c>
      <c r="N77" s="154">
        <f>CEILING(AI77*Настройки!$O$15*A77*N$65,Настройки!$Q$15)</f>
        <v>0</v>
      </c>
      <c r="O77" s="154">
        <f>CEILING(AJ77*Настройки!$O$15*A77*O$65,Настройки!$Q$15)</f>
        <v>0</v>
      </c>
      <c r="W77" s="155" t="s">
        <v>651</v>
      </c>
      <c r="X77" s="156" t="s">
        <v>644</v>
      </c>
      <c r="Y77" s="334">
        <v>3229.8</v>
      </c>
      <c r="Z77" s="334">
        <v>3545.8500000000004</v>
      </c>
      <c r="AA77" s="334">
        <v>4036.2000000000003</v>
      </c>
      <c r="AB77" s="334">
        <v>5215.3500000000004</v>
      </c>
      <c r="AC77" s="334">
        <v>7722.75</v>
      </c>
      <c r="AD77" s="334">
        <v>10657.5</v>
      </c>
      <c r="AE77" s="334">
        <v>12341.7</v>
      </c>
      <c r="AF77" s="334">
        <v>16544.850000000002</v>
      </c>
      <c r="AG77" s="334">
        <v>18400.2</v>
      </c>
      <c r="AH77" s="334">
        <v>22107.75</v>
      </c>
      <c r="AI77" s="334">
        <v>26065.200000000001</v>
      </c>
      <c r="AJ77" s="334">
        <v>52131.450000000004</v>
      </c>
      <c r="BC77" s="327"/>
    </row>
    <row r="78" spans="1:55" ht="15.75" thickBot="1">
      <c r="A78">
        <f>IF(B78=Печать!$A$29,1,0)*IF(C78=Печать!$C$29,1,0)*IF($B$65=Печать!$D$29,1,0)</f>
        <v>0</v>
      </c>
      <c r="B78" s="153" t="s">
        <v>651</v>
      </c>
      <c r="C78" s="154" t="s">
        <v>646</v>
      </c>
      <c r="D78" s="154">
        <f>CEILING(Y78*Настройки!$O$15*A78*D$65,Настройки!$Q$15)</f>
        <v>0</v>
      </c>
      <c r="E78" s="154">
        <f>CEILING(Z78*Настройки!$O$15*A78*E$65,Настройки!$Q$15)</f>
        <v>0</v>
      </c>
      <c r="F78" s="154">
        <f>CEILING(AA78*Настройки!$O$15*A78*F$65,Настройки!$Q$15)</f>
        <v>0</v>
      </c>
      <c r="G78" s="154">
        <f>CEILING(AB78*Настройки!$O$15*A78*G$65,Настройки!$Q$15)</f>
        <v>0</v>
      </c>
      <c r="H78" s="154">
        <f>CEILING(AC78*Настройки!$O$15*A78*H$65,Настройки!$Q$15)</f>
        <v>0</v>
      </c>
      <c r="I78" s="154">
        <f>CEILING(AD78*Настройки!$O$15*A78*I$65,Настройки!$Q$15)</f>
        <v>0</v>
      </c>
      <c r="J78" s="154">
        <f>CEILING(AE78*Настройки!$O$15*A78*J$65,Настройки!$Q$15)</f>
        <v>0</v>
      </c>
      <c r="K78" s="154">
        <f>CEILING(AF78*Настройки!$O$15*A78*K$65,Настройки!$Q$15)</f>
        <v>0</v>
      </c>
      <c r="L78" s="154">
        <f>CEILING(AG78*Настройки!$O$15*A78*L$65,Настройки!$Q$15)</f>
        <v>0</v>
      </c>
      <c r="M78" s="154">
        <f>CEILING(AH78*Настройки!$O$15*A78*M$65,Настройки!$Q$15)</f>
        <v>0</v>
      </c>
      <c r="N78" s="154">
        <f>CEILING(AI78*Настройки!$O$15*A78*N$65,Настройки!$Q$15)</f>
        <v>0</v>
      </c>
      <c r="O78" s="154">
        <f>CEILING(AJ78*Настройки!$O$15*A78*O$65,Настройки!$Q$15)</f>
        <v>0</v>
      </c>
      <c r="W78" s="153" t="s">
        <v>651</v>
      </c>
      <c r="X78" s="154" t="s">
        <v>646</v>
      </c>
      <c r="Y78" s="334">
        <v>2637.6</v>
      </c>
      <c r="Z78" s="334">
        <v>3005.1</v>
      </c>
      <c r="AA78" s="334">
        <v>3743.25</v>
      </c>
      <c r="AB78" s="334">
        <v>4825.8</v>
      </c>
      <c r="AC78" s="334">
        <v>6989.85</v>
      </c>
      <c r="AD78" s="334">
        <v>10379.25</v>
      </c>
      <c r="AE78" s="334">
        <v>11781</v>
      </c>
      <c r="AF78" s="334">
        <v>15905.400000000001</v>
      </c>
      <c r="AG78" s="334">
        <v>17221.05</v>
      </c>
      <c r="AH78" s="334">
        <v>19853.400000000001</v>
      </c>
      <c r="AI78" s="334">
        <v>22703.100000000002</v>
      </c>
      <c r="AJ78" s="334">
        <v>45406.200000000004</v>
      </c>
      <c r="BC78" s="327"/>
    </row>
    <row r="79" spans="1:55" ht="15.75" thickBot="1">
      <c r="A79">
        <f>IF(B79=Печать!$A$29,1,0)*IF(C79=Печать!$C$29,1,0)*IF($B$65=Печать!$D$29,1,0)</f>
        <v>0</v>
      </c>
      <c r="B79" s="155" t="s">
        <v>653</v>
      </c>
      <c r="C79" s="156" t="s">
        <v>646</v>
      </c>
      <c r="D79" s="154">
        <f>CEILING(Y79*Настройки!$O$15*A79*D$65,Настройки!$Q$15)</f>
        <v>0</v>
      </c>
      <c r="E79" s="154">
        <f>CEILING(Z79*Настройки!$O$15*A79*E$65,Настройки!$Q$15)</f>
        <v>0</v>
      </c>
      <c r="F79" s="154">
        <f>CEILING(AA79*Настройки!$O$15*A79*F$65,Настройки!$Q$15)</f>
        <v>0</v>
      </c>
      <c r="G79" s="154">
        <f>CEILING(AB79*Настройки!$O$15*A79*G$65,Настройки!$Q$15)</f>
        <v>0</v>
      </c>
      <c r="H79" s="154">
        <f>CEILING(AC79*Настройки!$O$15*A79*H$65,Настройки!$Q$15)</f>
        <v>0</v>
      </c>
      <c r="I79" s="154">
        <f>CEILING(AD79*Настройки!$O$15*A79*I$65,Настройки!$Q$15)</f>
        <v>0</v>
      </c>
      <c r="J79" s="154">
        <f>CEILING(AE79*Настройки!$O$15*A79*J$65,Настройки!$Q$15)</f>
        <v>0</v>
      </c>
      <c r="K79" s="154">
        <f>CEILING(AF79*Настройки!$O$15*A79*K$65,Настройки!$Q$15)</f>
        <v>0</v>
      </c>
      <c r="L79" s="154">
        <f>CEILING(AG79*Настройки!$O$15*A79*L$65,Настройки!$Q$15)</f>
        <v>0</v>
      </c>
      <c r="M79" s="154">
        <f>CEILING(AH79*Настройки!$O$15*A79*M$65,Настройки!$Q$15)</f>
        <v>0</v>
      </c>
      <c r="N79" s="154">
        <f>CEILING(AI79*Настройки!$O$15*A79*N$65,Настройки!$Q$15)</f>
        <v>0</v>
      </c>
      <c r="O79" s="154">
        <f>CEILING(AJ79*Настройки!$O$15*A79*O$65,Настройки!$Q$15)</f>
        <v>0</v>
      </c>
      <c r="W79" s="155" t="s">
        <v>653</v>
      </c>
      <c r="X79" s="156" t="s">
        <v>646</v>
      </c>
      <c r="Y79" s="190">
        <v>815.85</v>
      </c>
      <c r="Z79" s="190">
        <v>930.30000000000007</v>
      </c>
      <c r="AA79" s="190">
        <v>1095.1500000000001</v>
      </c>
      <c r="AB79" s="334">
        <v>1388.1000000000001</v>
      </c>
      <c r="AC79" s="334">
        <v>2085.3000000000002</v>
      </c>
      <c r="AD79" s="334">
        <v>3133.2000000000003</v>
      </c>
      <c r="AE79" s="334">
        <v>3909.15</v>
      </c>
      <c r="AF79" s="334">
        <v>5182.8</v>
      </c>
      <c r="AG79" s="334">
        <v>6082.6500000000005</v>
      </c>
      <c r="AH79" s="334">
        <v>7886.55</v>
      </c>
      <c r="AI79" s="334">
        <v>9790.2000000000007</v>
      </c>
      <c r="AJ79" s="334">
        <v>19580.400000000001</v>
      </c>
      <c r="BC79" s="327"/>
    </row>
    <row r="80" spans="1:55" ht="15.75" thickBot="1">
      <c r="B80" s="171"/>
      <c r="C80" s="171"/>
      <c r="D80" s="171"/>
      <c r="E80" s="171"/>
      <c r="F80" s="171"/>
      <c r="G80" s="171"/>
      <c r="H80" s="171"/>
      <c r="I80" s="171"/>
      <c r="J80" s="171"/>
      <c r="K80" s="171"/>
      <c r="L80" s="171"/>
      <c r="M80" s="171"/>
      <c r="N80" s="171"/>
      <c r="O80" s="147"/>
      <c r="W80" s="171"/>
      <c r="X80" s="171"/>
      <c r="Y80" s="171"/>
      <c r="Z80" s="171"/>
      <c r="AA80" s="171"/>
      <c r="AB80" s="171"/>
      <c r="AC80" s="171"/>
      <c r="AD80" s="171"/>
      <c r="AE80" s="171"/>
      <c r="AF80" s="171"/>
      <c r="AG80" s="171"/>
      <c r="AH80" s="171"/>
      <c r="AI80" s="171"/>
      <c r="AJ80" s="147"/>
    </row>
    <row r="81" spans="1:36" ht="15.75" thickBot="1">
      <c r="A81">
        <f>IF($B$65=Печать!$D$29,1,0)</f>
        <v>0</v>
      </c>
      <c r="B81" s="166" t="s">
        <v>666</v>
      </c>
      <c r="C81" s="167"/>
      <c r="D81" s="167">
        <f>CEILING(Y81*Настройки!$O$15*IF(SUM(D67:D79)&gt;0,1,0),Настройки!$Q$15)*A81*H101</f>
        <v>0</v>
      </c>
      <c r="E81" s="167">
        <f>CEILING(Z81*Настройки!$O$15*IF(SUM(E67:E79)&gt;0,1,0),Настройки!$Q$15)*A81*H101</f>
        <v>0</v>
      </c>
      <c r="F81" s="167">
        <f>CEILING(AA81*H101*Настройки!$O$15*IF(SUM(F67:F79)&gt;0,1,0),Настройки!$Q$15)*A81*H101</f>
        <v>0</v>
      </c>
      <c r="G81" s="167">
        <f>CEILING(AB81*Настройки!$O$15*IF(SUM(G67:G79)&gt;0,1,0),Настройки!$Q$15)*A81*H101</f>
        <v>0</v>
      </c>
      <c r="H81" s="167">
        <f>CEILING(AC81*Настройки!$O$15*IF(SUM(H67:H79)&gt;0,1,0),Настройки!$Q$15)*A81*H101</f>
        <v>0</v>
      </c>
      <c r="I81" s="167">
        <f>CEILING(AD81*Настройки!$O$15*IF(SUM(I67:I79)&gt;0,1,0),Настройки!$Q$15)*A81*H101</f>
        <v>0</v>
      </c>
      <c r="J81" s="167">
        <f>CEILING(AE81*Настройки!$O$15*IF(SUM(J67:J79)&gt;0,1,0),Настройки!$Q$15)*A81*H101</f>
        <v>0</v>
      </c>
      <c r="K81" s="167">
        <f>CEILING(AF81*Настройки!$O$15*IF(SUM(K67:K79)&gt;0,1,0),Настройки!$Q$15)*A81*H101</f>
        <v>0</v>
      </c>
      <c r="L81" s="167">
        <f>CEILING(AG81*Настройки!$O$15*IF(SUM(L67:L79)&gt;0,1,0),Настройки!$Q$15)*A81*H101</f>
        <v>0</v>
      </c>
      <c r="M81" s="167">
        <f>CEILING(AH81*Настройки!$O$15*IF(SUM(M67:M79)&gt;0,1,0),Настройки!$Q$15)*A81*H101</f>
        <v>0</v>
      </c>
      <c r="N81" s="167">
        <f>CEILING(AI81*Настройки!$O$15*IF(SUM(N67:N79)&gt;0,1,0),Настройки!$Q$15)*A81*H101</f>
        <v>0</v>
      </c>
      <c r="O81" s="167">
        <f>CEILING(AJ81*Настройки!$O$15*IF(SUM(O67:O79)&gt;0,1,0),Настройки!$Q$15)*A81*H101</f>
        <v>0</v>
      </c>
      <c r="W81" s="166" t="s">
        <v>666</v>
      </c>
      <c r="X81" s="167"/>
      <c r="Y81" s="167">
        <v>1418.55</v>
      </c>
      <c r="Z81" s="167">
        <v>1418.55</v>
      </c>
      <c r="AA81" s="167">
        <v>1418.55</v>
      </c>
      <c r="AB81" s="167">
        <v>1418.55</v>
      </c>
      <c r="AC81" s="167">
        <v>2837.1</v>
      </c>
      <c r="AD81" s="167">
        <v>4256.7</v>
      </c>
      <c r="AE81" s="167">
        <v>4523.4000000000005</v>
      </c>
      <c r="AF81" s="167">
        <v>4788</v>
      </c>
      <c r="AG81" s="167">
        <v>5745.6</v>
      </c>
      <c r="AH81" s="167">
        <v>6953.1</v>
      </c>
      <c r="AI81" s="167">
        <v>9254.7000000000007</v>
      </c>
      <c r="AJ81" s="167">
        <v>18452.7</v>
      </c>
    </row>
    <row r="82" spans="1:36" ht="15.75" thickBot="1">
      <c r="B82" s="157" t="s">
        <v>660</v>
      </c>
      <c r="C82" s="160"/>
      <c r="D82" s="160">
        <f>CEILING(Y82*Настройки!$O$15*IF(SUM(D67:D79)&gt;0,1,0),Настройки!$Q$15)*A81*H102</f>
        <v>0</v>
      </c>
      <c r="E82" s="160">
        <f>CEILING(Z82*Настройки!$O$15*IF(SUM(E67:E79)&gt;0,1,0),Настройки!$Q$15)*A81*H102</f>
        <v>0</v>
      </c>
      <c r="F82" s="160">
        <f>CEILING(AA82*Настройки!$O$15*IF(SUM(F67:F79)&gt;0,1,0),Настройки!$Q$15)*A81*H102</f>
        <v>0</v>
      </c>
      <c r="G82" s="160">
        <f>CEILING(AB82*Настройки!$O$15*IF(SUM(G67:G79)&gt;0,1,0),Настройки!$Q$15)*A81*H102</f>
        <v>0</v>
      </c>
      <c r="H82" s="160">
        <f>CEILING(AC82*Настройки!$O$15*IF(SUM(H67:H79)&gt;0,1,0),Настройки!$Q$15)*A81*H102</f>
        <v>0</v>
      </c>
      <c r="I82" s="160">
        <f>CEILING(AD82*Настройки!$O$15*IF(SUM(I67:I79)&gt;0,1,0),Настройки!$Q$15)*A81*H102</f>
        <v>0</v>
      </c>
      <c r="J82" s="160">
        <f>CEILING(AE82*Настройки!$O$15*IF(SUM(J67:J79)&gt;0,1,0),Настройки!$Q$15)*A81*H102</f>
        <v>0</v>
      </c>
      <c r="K82" s="160">
        <f>CEILING(AF82*Настройки!$O$15*IF(SUM(K67:K79)&gt;0,1,0),Настройки!$Q$15)*A81*H102</f>
        <v>0</v>
      </c>
      <c r="L82" s="160">
        <f>CEILING(AG82*Настройки!$O$15*IF(SUM(L67:L79)&gt;0,1,0),Настройки!$Q$15)*A81*H102</f>
        <v>0</v>
      </c>
      <c r="M82" s="160">
        <f>CEILING(AH82*Настройки!$O$15*IF(SUM(M67:M79)&gt;0,1,0),Настройки!$Q$15)*A81*H102</f>
        <v>0</v>
      </c>
      <c r="N82" s="160">
        <f>CEILING(AI82*Настройки!$O$15*IF(SUM(N67:N79)&gt;0,1,0),Настройки!$Q$15)*A81*H102</f>
        <v>0</v>
      </c>
      <c r="O82" s="160">
        <f>CEILING(AJ82*Настройки!$O$15*IF(SUM(O67:O79)&gt;0,1,0),Настройки!$Q$15)*A81*H102</f>
        <v>0</v>
      </c>
      <c r="W82" s="157" t="s">
        <v>660</v>
      </c>
      <c r="X82" s="160"/>
      <c r="Y82" s="167">
        <v>1418.55</v>
      </c>
      <c r="Z82" s="167">
        <v>1418.55</v>
      </c>
      <c r="AA82" s="160">
        <v>2364.6</v>
      </c>
      <c r="AB82" s="160">
        <v>2364.6</v>
      </c>
      <c r="AC82" s="160">
        <v>4729.2</v>
      </c>
      <c r="AD82" s="160">
        <v>7093.8</v>
      </c>
      <c r="AE82" s="160">
        <v>7124.25</v>
      </c>
      <c r="AF82" s="160">
        <v>7152.6</v>
      </c>
      <c r="AG82" s="160">
        <v>9357.9018119999982</v>
      </c>
      <c r="AH82" s="160">
        <v>10429.65</v>
      </c>
      <c r="AI82" s="160">
        <v>12832.050000000001</v>
      </c>
      <c r="AJ82" s="160">
        <v>27709.5</v>
      </c>
    </row>
    <row r="83" spans="1:36" ht="15.75" thickBot="1">
      <c r="B83" s="157" t="s">
        <v>656</v>
      </c>
      <c r="C83" s="160"/>
      <c r="D83" s="160">
        <f>CEILING(Y83*Настройки!$O$15*IF(SUM(D67:D79)&gt;0,1,0),Настройки!$Q$15)*A81*J101</f>
        <v>0</v>
      </c>
      <c r="E83" s="160">
        <f>CEILING(Z83*Настройки!$O$15*IF(SUM(E67:E79)&gt;0,1,0),Настройки!$Q$15)*A81*J101</f>
        <v>0</v>
      </c>
      <c r="F83" s="160">
        <f>CEILING(AA83*Настройки!$O$15*IF(SUM(F67:F79)&gt;0,1,0),Настройки!$Q$15)*A81*J101</f>
        <v>0</v>
      </c>
      <c r="G83" s="160">
        <f>CEILING(AB83*Настройки!$O$15*IF(SUM(G67:G79)&gt;0,1,0),Настройки!$Q$15)*A81*J101</f>
        <v>0</v>
      </c>
      <c r="H83" s="160">
        <f>CEILING(AC83*Настройки!$O$15*IF(SUM(H67:H79)&gt;0,1,0),Настройки!$Q$15)*A81*J101</f>
        <v>0</v>
      </c>
      <c r="I83" s="160">
        <f>CEILING(AD83*Настройки!$O$15*IF(SUM(I67:I79)&gt;0,1,0),Настройки!$Q$15)*A81*J101</f>
        <v>0</v>
      </c>
      <c r="J83" s="160">
        <f>CEILING(AE83*Настройки!$O$15*IF(SUM(J67:J79)&gt;0,1,0),Настройки!$Q$15)*A81*J101</f>
        <v>0</v>
      </c>
      <c r="K83" s="160">
        <f>CEILING(AF83*Настройки!$O$15*IF(SUM(K67:K79)&gt;0,1,0),Настройки!$Q$15)*A81*J101</f>
        <v>0</v>
      </c>
      <c r="L83" s="160">
        <f>CEILING(AG83*Настройки!$O$15*IF(SUM(L67:L79)&gt;0,1,0),Настройки!$Q$15)*A81*J101</f>
        <v>0</v>
      </c>
      <c r="M83" s="160">
        <f>CEILING(AH83*Настройки!$O$15*IF(SUM(M67:M79)&gt;0,1,0),Настройки!$Q$15)*A81*J101</f>
        <v>0</v>
      </c>
      <c r="N83" s="160">
        <f>CEILING(AI83*Настройки!$O$15*IF(SUM(N67:N79)&gt;0,1,0),Настройки!$Q$15)*A81*J101</f>
        <v>0</v>
      </c>
      <c r="O83" s="160">
        <f>CEILING(AJ83*Настройки!$O$15*IF(SUM(O67:O79)&gt;0,1,0),Настройки!$Q$15)*A81*J101</f>
        <v>0</v>
      </c>
      <c r="W83" s="157" t="s">
        <v>656</v>
      </c>
      <c r="X83" s="160"/>
      <c r="Y83" s="160">
        <v>688.80000000000007</v>
      </c>
      <c r="Z83" s="160">
        <v>764.4</v>
      </c>
      <c r="AA83" s="160">
        <v>898.80000000000007</v>
      </c>
      <c r="AB83" s="160">
        <v>1123.5</v>
      </c>
      <c r="AC83" s="160">
        <v>1572.9</v>
      </c>
      <c r="AD83" s="160">
        <v>2023.3500000000001</v>
      </c>
      <c r="AE83" s="160">
        <v>2471.7000000000003</v>
      </c>
      <c r="AF83" s="160">
        <v>2922.15</v>
      </c>
      <c r="AG83" s="160">
        <v>3370.5</v>
      </c>
      <c r="AH83" s="160">
        <v>4270.3500000000004</v>
      </c>
      <c r="AI83" s="160">
        <v>5170.2</v>
      </c>
      <c r="AJ83" s="160">
        <v>10340.4</v>
      </c>
    </row>
    <row r="84" spans="1:36" ht="15.75" thickBot="1">
      <c r="B84" s="157" t="s">
        <v>655</v>
      </c>
      <c r="C84" s="160"/>
      <c r="D84" s="160">
        <f>CEILING(Y84*Настройки!$O$15*IF(SUM(D67:D79)&gt;0,1,0),Настройки!$Q$15)*A81*J100</f>
        <v>0</v>
      </c>
      <c r="E84" s="160">
        <f>CEILING(Z84*Настройки!$O$15*IF(SUM(E67:E79)&gt;0,1,0),Настройки!$Q$15)*A81*J100</f>
        <v>0</v>
      </c>
      <c r="F84" s="160">
        <f>CEILING(AA84*Настройки!$O$15*IF(SUM(F67:F79)&gt;0,1,0),Настройки!$Q$15)*A81*J100</f>
        <v>0</v>
      </c>
      <c r="G84" s="160">
        <f>CEILING(AB84*Настройки!$O$15*IF(SUM(G67:G79)&gt;0,1,0),Настройки!$Q$15)*A81*J100</f>
        <v>0</v>
      </c>
      <c r="H84" s="160">
        <f>CEILING(AC84*Настройки!$O$15*IF(SUM(H67:H79)&gt;0,1,0),Настройки!$Q$15)*A81*J100</f>
        <v>0</v>
      </c>
      <c r="I84" s="160">
        <f>CEILING(AD84*Настройки!$O$15*IF(SUM(I67:I79)&gt;0,1,0),Настройки!$Q$15)*A81*J100</f>
        <v>0</v>
      </c>
      <c r="J84" s="160">
        <f>CEILING(AE84*Настройки!$O$15*IF(SUM(J67:J79)&gt;0,1,0),Настройки!$Q$15)*A81*J100</f>
        <v>0</v>
      </c>
      <c r="K84" s="160">
        <f>CEILING(AF84*Настройки!$O$15*IF(SUM(K67:K79)&gt;0,1,0),Настройки!$Q$15)*A81*J100</f>
        <v>0</v>
      </c>
      <c r="L84" s="160">
        <f>CEILING(AG84*Настройки!$O$15*IF(SUM(L67:L79)&gt;0,1,0),Настройки!$Q$15)*A81*J100</f>
        <v>0</v>
      </c>
      <c r="M84" s="160">
        <f>CEILING(AH84*Настройки!$O$15*IF(SUM(M67:M79)&gt;0,1,0),Настройки!$Q$15)*A81*J100</f>
        <v>0</v>
      </c>
      <c r="N84" s="160">
        <f>CEILING(AI84*Настройки!$O$15*IF(SUM(N67:N79)&gt;0,1,0),Настройки!$Q$15)*A81*J100</f>
        <v>0</v>
      </c>
      <c r="O84" s="160">
        <f>CEILING(AJ84*Настройки!$O$15*IF(SUM(O67:O79)&gt;0,1,0),Настройки!$Q$15)*A81*J100</f>
        <v>0</v>
      </c>
      <c r="W84" s="157" t="s">
        <v>655</v>
      </c>
      <c r="X84" s="160"/>
      <c r="Y84" s="160">
        <v>233.10000000000002</v>
      </c>
      <c r="Z84" s="160">
        <v>233.10000000000002</v>
      </c>
      <c r="AA84" s="160">
        <v>233.10000000000002</v>
      </c>
      <c r="AB84" s="160">
        <v>233.10000000000002</v>
      </c>
      <c r="AC84" s="160">
        <v>465.15000000000003</v>
      </c>
      <c r="AD84" s="160">
        <v>698.25</v>
      </c>
      <c r="AE84" s="160">
        <v>931.35</v>
      </c>
      <c r="AF84" s="160">
        <v>1163.4000000000001</v>
      </c>
      <c r="AG84" s="160">
        <v>1396.5</v>
      </c>
      <c r="AH84" s="160">
        <v>1861.65</v>
      </c>
      <c r="AI84" s="160">
        <v>2327.85</v>
      </c>
      <c r="AJ84" s="160">
        <v>4655.7</v>
      </c>
    </row>
    <row r="85" spans="1:36">
      <c r="B85" s="168" t="s">
        <v>674</v>
      </c>
      <c r="C85" s="160"/>
      <c r="D85" s="160">
        <f>CEILING(Y85*Настройки!$O$15*IF(SUM(D67:D69)&gt;0,1,0),Настройки!$Q$15)*A81*J103</f>
        <v>0</v>
      </c>
      <c r="E85" s="160">
        <f>CEILING(Z85*Настройки!$O$15*IF(SUM(E67:E69)&gt;0,1,0),Настройки!$Q$15)*A81*J103</f>
        <v>0</v>
      </c>
      <c r="F85" s="160">
        <f>CEILING(AA85*Настройки!$O$15*IF(SUM(F67:F69)&gt;0,1,0),Настройки!$Q$15)*A81*J103</f>
        <v>0</v>
      </c>
      <c r="G85" s="160">
        <f>CEILING(AB85*Настройки!$O$15*IF(SUM(G67:G69)&gt;0,1,0),Настройки!$Q$15)*A81*J103</f>
        <v>0</v>
      </c>
      <c r="H85" s="160">
        <f>CEILING(AC85*Настройки!$O$15*IF(SUM(H67:H69)&gt;0,1,0),Настройки!$Q$15)*A81*J103</f>
        <v>0</v>
      </c>
      <c r="I85" s="160">
        <f>CEILING(AD85*Настройки!$O$15*IF(SUM(I67:I69)&gt;0,1,0),Настройки!$Q$15)*A81*J103</f>
        <v>0</v>
      </c>
      <c r="J85" s="160">
        <f>CEILING(AE85*Настройки!$O$15*IF(SUM(J67:J69)&gt;0,1,0),Настройки!$Q$15)*A81*J103</f>
        <v>0</v>
      </c>
      <c r="K85" s="160">
        <f>CEILING(AF85*Настройки!$O$15*IF(SUM(K67:K69)&gt;0,1,0),Настройки!$Q$15)*A81*J103</f>
        <v>0</v>
      </c>
      <c r="L85" s="160">
        <f>CEILING(AG85*Настройки!$O$15*IF(SUM(L67:L69)&gt;0,1,0),Настройки!$Q$15)*A81*J103</f>
        <v>0</v>
      </c>
      <c r="M85" s="160">
        <f>CEILING(AH85*Настройки!$O$15*IF(SUM(M67:M69)&gt;0,1,0),Настройки!$Q$15)*A81*J103</f>
        <v>0</v>
      </c>
      <c r="N85" s="160">
        <f>CEILING(AI85*Настройки!$O$15*IF(SUM(N67:N69)&gt;0,1,0),Настройки!$Q$15)*A81*J103</f>
        <v>0</v>
      </c>
      <c r="O85" s="160">
        <f>CEILING(AJ85*Настройки!$O$15*IF(SUM(O67:O69)&gt;0,1,0),Настройки!$Q$15)*A81*J103</f>
        <v>0</v>
      </c>
      <c r="W85" s="168" t="s">
        <v>674</v>
      </c>
      <c r="X85" s="160"/>
      <c r="Y85" s="160">
        <v>1504.65</v>
      </c>
      <c r="Z85" s="160">
        <v>1673.7</v>
      </c>
      <c r="AA85" s="160">
        <v>1673.7</v>
      </c>
      <c r="AB85" s="160">
        <v>1673.7</v>
      </c>
      <c r="AC85" s="160">
        <v>1922.5500000000002</v>
      </c>
      <c r="AD85" s="160">
        <v>2905.35</v>
      </c>
      <c r="AE85" s="160">
        <v>3931.2000000000003</v>
      </c>
      <c r="AF85" s="162">
        <v>4855.2</v>
      </c>
      <c r="AG85" s="160">
        <v>5534.55</v>
      </c>
      <c r="AH85" s="160">
        <v>6895.35</v>
      </c>
      <c r="AI85" s="160">
        <v>8253</v>
      </c>
      <c r="AJ85" s="162">
        <v>16506</v>
      </c>
    </row>
    <row r="86" spans="1:36" ht="15.75" thickBot="1">
      <c r="B86" s="158" t="s">
        <v>667</v>
      </c>
      <c r="C86" s="161"/>
      <c r="D86" s="161"/>
      <c r="E86" s="161"/>
      <c r="F86" s="161"/>
      <c r="G86" s="161"/>
      <c r="H86" s="161"/>
      <c r="I86" s="161"/>
      <c r="J86" s="161"/>
      <c r="K86" s="163"/>
      <c r="L86" s="161"/>
      <c r="M86" s="161"/>
      <c r="N86" s="161"/>
      <c r="O86" s="163"/>
      <c r="W86" s="158" t="s">
        <v>667</v>
      </c>
      <c r="X86" s="161"/>
      <c r="Y86" s="161"/>
      <c r="Z86" s="161"/>
      <c r="AA86" s="161"/>
      <c r="AB86" s="161"/>
      <c r="AC86" s="161"/>
      <c r="AD86" s="161"/>
      <c r="AE86" s="161"/>
      <c r="AF86" s="163"/>
      <c r="AG86" s="161"/>
      <c r="AH86" s="161"/>
      <c r="AI86" s="161"/>
      <c r="AJ86" s="163"/>
    </row>
    <row r="87" spans="1:36">
      <c r="B87" s="168" t="s">
        <v>674</v>
      </c>
      <c r="C87" s="160"/>
      <c r="D87" s="162">
        <f>CEILING(Y87*Настройки!$O$15*IF(SUM(D75:D79)&gt;0,1,0),Настройки!$Q$15)*A81*J103</f>
        <v>0</v>
      </c>
      <c r="E87" s="162">
        <f>CEILING(Z87*Настройки!$O$15*IF(SUM(E75:E79)&gt;0,1,0),Настройки!$Q$15)*A81*J103</f>
        <v>0</v>
      </c>
      <c r="F87" s="162">
        <f>CEILING(AA87*Настройки!$O$15*IF(SUM(F75:F79)&gt;0,1,0),Настройки!$Q$15)*A81*J103</f>
        <v>0</v>
      </c>
      <c r="G87" s="162">
        <f>CEILING(AB87*Настройки!$O$15*IF(SUM(G75:G79)&gt;0,1,0),Настройки!$Q$15)*A81*J103</f>
        <v>0</v>
      </c>
      <c r="H87" s="162">
        <f>CEILING(AC87*Настройки!$O$15*IF(SUM(H75:H79)&gt;0,1,0),Настройки!$Q$15)*A81*J103</f>
        <v>0</v>
      </c>
      <c r="I87" s="162">
        <f>CEILING(AD87*Настройки!$O$15*IF(SUM(I75:I79)&gt;0,1,0),Настройки!$Q$15)*A81*J103</f>
        <v>0</v>
      </c>
      <c r="J87" s="162">
        <f>CEILING(AE87*Настройки!$O$15*IF(SUM(J75:J79)&gt;0,1,0),Настройки!$Q$15)*A81*J103</f>
        <v>0</v>
      </c>
      <c r="K87" s="162">
        <f>CEILING(AF87*Настройки!$O$15*IF(SUM(K75:K79)&gt;0,1,0),Настройки!$Q$15)*A81*J103</f>
        <v>0</v>
      </c>
      <c r="L87" s="162">
        <f>CEILING(AG87*Настройки!$O$15*IF(SUM(L75:L79)&gt;0,1,0),Настройки!$Q$15)*A81*J103</f>
        <v>0</v>
      </c>
      <c r="M87" s="162">
        <f>CEILING(AH87*Настройки!$O$15*IF(SUM(M75:M79)&gt;0,1,0),Настройки!$Q$15)*A81*J103</f>
        <v>0</v>
      </c>
      <c r="N87" s="162">
        <f>CEILING(AI87*Настройки!$O$15*IF(SUM(N75:N79)&gt;0,1,0),Настройки!$Q$15)*A81*J103</f>
        <v>0</v>
      </c>
      <c r="O87" s="162">
        <f>CEILING(AJ87*Настройки!$O$15*IF(SUM(O75:O79)&gt;0,1,0),Настройки!$Q$15)*A81*J103</f>
        <v>0</v>
      </c>
      <c r="W87" s="168" t="s">
        <v>674</v>
      </c>
      <c r="X87" s="160"/>
      <c r="Y87" s="160">
        <v>3345.3</v>
      </c>
      <c r="Z87" s="160">
        <v>3345.3</v>
      </c>
      <c r="AA87" s="160">
        <v>3345.3</v>
      </c>
      <c r="AB87" s="160">
        <v>3345.3</v>
      </c>
      <c r="AC87" s="160">
        <v>4722.9000000000005</v>
      </c>
      <c r="AD87" s="160">
        <v>5838</v>
      </c>
      <c r="AE87" s="160">
        <v>8607.9</v>
      </c>
      <c r="AF87" s="160">
        <v>9409.0500000000011</v>
      </c>
      <c r="AG87" s="160">
        <v>13106.1</v>
      </c>
      <c r="AH87" s="160">
        <v>15897</v>
      </c>
      <c r="AI87" s="160">
        <v>20395.2</v>
      </c>
      <c r="AJ87" s="160">
        <v>40790.400000000001</v>
      </c>
    </row>
    <row r="88" spans="1:36" ht="15.75" thickBot="1">
      <c r="B88" s="158" t="s">
        <v>668</v>
      </c>
      <c r="C88" s="161"/>
      <c r="D88" s="163"/>
      <c r="E88" s="161"/>
      <c r="F88" s="161"/>
      <c r="G88" s="161"/>
      <c r="H88" s="161"/>
      <c r="I88" s="161"/>
      <c r="J88" s="161"/>
      <c r="K88" s="161"/>
      <c r="L88" s="161"/>
      <c r="M88" s="161"/>
      <c r="N88" s="161"/>
      <c r="O88" s="161"/>
      <c r="W88" s="158" t="s">
        <v>668</v>
      </c>
      <c r="X88" s="161"/>
      <c r="Y88" s="163"/>
      <c r="Z88" s="161"/>
      <c r="AA88" s="161"/>
      <c r="AB88" s="161"/>
      <c r="AC88" s="161"/>
      <c r="AD88" s="161"/>
      <c r="AE88" s="161"/>
      <c r="AF88" s="161"/>
      <c r="AG88" s="161"/>
      <c r="AH88" s="161"/>
      <c r="AI88" s="161"/>
      <c r="AJ88" s="161"/>
    </row>
    <row r="89" spans="1:36">
      <c r="B89" s="168" t="s">
        <v>675</v>
      </c>
      <c r="C89" s="160"/>
      <c r="D89" s="162">
        <f>CEILING(Y89*Настройки!$O$15*IF(SUM(D73:D74)&gt;0,1,0),Настройки!$Q$15)*A81*J103</f>
        <v>0</v>
      </c>
      <c r="E89" s="162">
        <f>CEILING(Z89*Настройки!$O$15*IF(SUM(E73:E74)&gt;0,1,0),Настройки!$Q$15)*A81*J103</f>
        <v>0</v>
      </c>
      <c r="F89" s="162">
        <f>CEILING(AA89*Настройки!$O$15*IF(SUM(F73:F74)&gt;0,1,0),Настройки!$Q$15)*A81*J103</f>
        <v>0</v>
      </c>
      <c r="G89" s="162">
        <f>CEILING(AB89*Настройки!$O$15*IF(SUM(G73:G74)&gt;0,1,0),Настройки!$Q$15)*A81*J103</f>
        <v>0</v>
      </c>
      <c r="H89" s="162">
        <f>CEILING(AC89*Настройки!$O$15*IF(SUM(H73:H74)&gt;0,1,0),Настройки!$Q$15)*A81*J103</f>
        <v>0</v>
      </c>
      <c r="I89" s="162">
        <f>CEILING(AD89*Настройки!$O$15*IF(SUM(I73:I74)&gt;0,1,0),Настройки!$Q$15)*A81*J103</f>
        <v>0</v>
      </c>
      <c r="J89" s="162">
        <f>CEILING(AE89*Настройки!$O$15*IF(SUM(J73:J74)&gt;0,1,0),Настройки!$Q$15)*A81*J103</f>
        <v>0</v>
      </c>
      <c r="K89" s="162">
        <f>CEILING(AF89*Настройки!$O$15*IF(SUM(K73:K74)&gt;0,1,0),Настройки!$Q$15)*A81*J103</f>
        <v>0</v>
      </c>
      <c r="L89" s="162">
        <f>CEILING(AG89*Настройки!$O$15*IF(SUM(L73:L74)&gt;0,1,0),Настройки!$Q$15)*A81*J103</f>
        <v>0</v>
      </c>
      <c r="M89" s="162">
        <f>CEILING(AH89*Настройки!$O$15*IF(SUM(M73:M74)&gt;0,1,0),Настройки!$Q$15)*A81*J103</f>
        <v>0</v>
      </c>
      <c r="N89" s="162">
        <f>CEILING(AI89*Настройки!$O$15*IF(SUM(N73:N74)&gt;0,1,0),Настройки!$Q$15)*A81*J103</f>
        <v>0</v>
      </c>
      <c r="O89" s="162">
        <f>CEILING(AJ89*Настройки!$O$15*IF(SUM(O73:O74)&gt;0,1,0),Настройки!$Q$15)*A81*J103</f>
        <v>0</v>
      </c>
      <c r="W89" s="168" t="s">
        <v>675</v>
      </c>
      <c r="X89" s="160"/>
      <c r="Y89" s="162">
        <v>3011.4</v>
      </c>
      <c r="Z89" s="160">
        <v>3345.3</v>
      </c>
      <c r="AA89" s="160">
        <v>3345.3</v>
      </c>
      <c r="AB89" s="160">
        <v>4744.95</v>
      </c>
      <c r="AC89" s="160">
        <v>4171.6500000000005</v>
      </c>
      <c r="AD89" s="160">
        <v>11398.800000000001</v>
      </c>
      <c r="AE89" s="160">
        <v>14453.25</v>
      </c>
      <c r="AF89" s="160">
        <v>17736.600000000002</v>
      </c>
      <c r="AG89" s="160">
        <v>20543.25</v>
      </c>
      <c r="AH89" s="160">
        <v>27313.65</v>
      </c>
      <c r="AI89" s="160">
        <v>33790.050000000003</v>
      </c>
      <c r="AJ89" s="160">
        <v>67580.100000000006</v>
      </c>
    </row>
    <row r="90" spans="1:36" ht="15.75" thickBot="1">
      <c r="B90" s="158" t="s">
        <v>669</v>
      </c>
      <c r="C90" s="161"/>
      <c r="D90" s="163"/>
      <c r="E90" s="161"/>
      <c r="F90" s="161"/>
      <c r="G90" s="161"/>
      <c r="H90" s="161"/>
      <c r="I90" s="161"/>
      <c r="J90" s="161"/>
      <c r="K90" s="161"/>
      <c r="L90" s="161"/>
      <c r="M90" s="161"/>
      <c r="N90" s="161"/>
      <c r="O90" s="161"/>
      <c r="W90" s="158" t="s">
        <v>669</v>
      </c>
      <c r="X90" s="161"/>
      <c r="Y90" s="163"/>
      <c r="Z90" s="161"/>
      <c r="AA90" s="161"/>
      <c r="AB90" s="161"/>
      <c r="AC90" s="161"/>
      <c r="AD90" s="161"/>
      <c r="AE90" s="161"/>
      <c r="AF90" s="161"/>
      <c r="AG90" s="161"/>
      <c r="AH90" s="161"/>
      <c r="AI90" s="161"/>
      <c r="AJ90" s="161"/>
    </row>
    <row r="91" spans="1:36">
      <c r="B91" s="168" t="s">
        <v>675</v>
      </c>
      <c r="C91" s="160"/>
      <c r="D91" s="162">
        <f>CEILING(Y91*Настройки!$O$15*IF(SUM(D71:D72)&gt;0,1,0),Настройки!$Q$15)*A81*J103</f>
        <v>0</v>
      </c>
      <c r="E91" s="162">
        <f>CEILING(Z91*Настройки!$O$15*IF(SUM(E71:E72)&gt;0,1,0),Настройки!$Q$15)*A81*J103</f>
        <v>0</v>
      </c>
      <c r="F91" s="162">
        <f>CEILING(AA91*Настройки!$O$15*IF(SUM(F71:F72)&gt;0,1,0),Настройки!$Q$15)*A81*J103</f>
        <v>0</v>
      </c>
      <c r="G91" s="162">
        <f>CEILING(AB91*Настройки!$O$15*IF(SUM(G71:G72)&gt;0,1,0),Настройки!$Q$15)*A81*J103</f>
        <v>0</v>
      </c>
      <c r="H91" s="162">
        <f>CEILING(AC91*Настройки!$O$15*IF(SUM(H71:H72)&gt;0,1,0),Настройки!$Q$15)*A81*J103</f>
        <v>0</v>
      </c>
      <c r="I91" s="162">
        <f>CEILING(AD91*Настройки!$O$15*IF(SUM(I71:I72)&gt;0,1,0),Настройки!$Q$15)*A81*J103</f>
        <v>0</v>
      </c>
      <c r="J91" s="162">
        <f>CEILING(AE91*Настройки!$O$15*IF(SUM(J71:J72)&gt;0,1,0),Настройки!$Q$15)*A81*J103</f>
        <v>0</v>
      </c>
      <c r="K91" s="162">
        <f>CEILING(AF91*Настройки!$O$15*IF(SUM(K71:K72)&gt;0,1,0),Настройки!$Q$15)*A81*J103</f>
        <v>0</v>
      </c>
      <c r="L91" s="162">
        <f>CEILING(AG91*Настройки!$O$15*IF(SUM(L71:L72)&gt;0,1,0),Настройки!$Q$15)*A81*J103</f>
        <v>0</v>
      </c>
      <c r="M91" s="162">
        <f>CEILING(AH91*Настройки!$O$15*IF(SUM(M71:M72)&gt;0,1,0),Настройки!$Q$15)*A81*J103</f>
        <v>0</v>
      </c>
      <c r="N91" s="162">
        <f>CEILING(AI91*Настройки!$O$15*IF(SUM(N71:N72)&gt;0,1,0),Настройки!$Q$15)*A81*J103</f>
        <v>0</v>
      </c>
      <c r="O91" s="162">
        <f>CEILING(AJ91*Настройки!$O$15*IF(SUM(O71:O72)&gt;0,1,0),Настройки!$Q$15)*A81*J103</f>
        <v>0</v>
      </c>
      <c r="W91" s="168" t="s">
        <v>675</v>
      </c>
      <c r="X91" s="160"/>
      <c r="Y91" s="162">
        <v>3524.8500000000004</v>
      </c>
      <c r="Z91" s="160">
        <v>4747.05</v>
      </c>
      <c r="AA91" s="160">
        <v>5967.1500000000005</v>
      </c>
      <c r="AB91" s="160">
        <v>9034.2000000000007</v>
      </c>
      <c r="AC91" s="160">
        <v>15950.550000000001</v>
      </c>
      <c r="AD91" s="160">
        <v>21309.75</v>
      </c>
      <c r="AE91" s="160">
        <v>27450.15</v>
      </c>
      <c r="AF91" s="160">
        <v>33587.4</v>
      </c>
      <c r="AG91" s="160">
        <v>18128.050289999999</v>
      </c>
      <c r="AH91" s="160">
        <v>54600</v>
      </c>
      <c r="AI91" s="160">
        <v>67200</v>
      </c>
      <c r="AJ91" s="160">
        <v>134400</v>
      </c>
    </row>
    <row r="92" spans="1:36" ht="15.75" thickBot="1">
      <c r="B92" s="158" t="s">
        <v>670</v>
      </c>
      <c r="C92" s="161"/>
      <c r="D92" s="163"/>
      <c r="E92" s="161"/>
      <c r="F92" s="161"/>
      <c r="G92" s="161"/>
      <c r="H92" s="161"/>
      <c r="I92" s="161"/>
      <c r="J92" s="161"/>
      <c r="K92" s="161"/>
      <c r="L92" s="161"/>
      <c r="M92" s="161"/>
      <c r="N92" s="161"/>
      <c r="O92" s="161"/>
      <c r="W92" s="158" t="s">
        <v>670</v>
      </c>
      <c r="X92" s="161"/>
      <c r="Y92" s="163"/>
      <c r="Z92" s="161"/>
      <c r="AA92" s="161"/>
      <c r="AB92" s="161"/>
      <c r="AC92" s="161"/>
      <c r="AD92" s="161"/>
      <c r="AE92" s="161"/>
      <c r="AF92" s="161"/>
      <c r="AG92" s="161"/>
      <c r="AH92" s="161"/>
      <c r="AI92" s="161"/>
      <c r="AJ92" s="161"/>
    </row>
    <row r="93" spans="1:36">
      <c r="B93" s="168" t="s">
        <v>676</v>
      </c>
      <c r="C93" s="160"/>
      <c r="D93" s="160">
        <f>CEILING(Y93*Настройки!$O$15*IF(SUM(D67:D79)&gt;0,1,0),Настройки!$Q$15)*A81</f>
        <v>0</v>
      </c>
      <c r="E93" s="160">
        <f>CEILING(Z93*Настройки!$O$15*IF(SUM(E67:E79)&gt;0,1,0),Настройки!$Q$15)*A81</f>
        <v>0</v>
      </c>
      <c r="F93" s="160">
        <f>CEILING(AA93*Настройки!$O$15*IF(SUM(F67:F79)&gt;0,1,0),Настройки!$Q$15)*A81</f>
        <v>0</v>
      </c>
      <c r="G93" s="160">
        <f>CEILING(AB93*Настройки!$O$15*IF(SUM(G67:G79)&gt;0,1,0),Настройки!$Q$15)*A81</f>
        <v>0</v>
      </c>
      <c r="H93" s="160">
        <f>CEILING(AC93*Настройки!$O$15*IF(SUM(H67:H79)&gt;0,1,0),Настройки!$Q$15)*A81</f>
        <v>0</v>
      </c>
      <c r="I93" s="160">
        <f>CEILING(AD93*Настройки!$O$15*IF(SUM(I67:I79)&gt;0,1,0),Настройки!$Q$15)*A81</f>
        <v>0</v>
      </c>
      <c r="J93" s="160">
        <f>CEILING(AE93*Настройки!$O$15*IF(SUM(J67:J79)&gt;0,1,0),Настройки!$Q$15)*A81</f>
        <v>0</v>
      </c>
      <c r="K93" s="160">
        <f>CEILING(AF93*Настройки!$O$15*IF(SUM(K67:K79)&gt;0,1,0),Настройки!$Q$15)*A81</f>
        <v>0</v>
      </c>
      <c r="L93" s="160">
        <f>CEILING(AG93*Настройки!$O$15*IF(SUM(L67:L79)&gt;0,1,0),Настройки!$Q$15)*A81</f>
        <v>0</v>
      </c>
      <c r="M93" s="160">
        <f>CEILING(AH93*Настройки!$O$15*IF(SUM(M67:M79)&gt;0,1,0),Настройки!$Q$15)*A81</f>
        <v>0</v>
      </c>
      <c r="N93" s="160">
        <f>CEILING(AI93*Настройки!$O$15*IF(SUM(N67:N79)&gt;0,1,0),Настройки!$Q$15)*A81</f>
        <v>0</v>
      </c>
      <c r="O93" s="160">
        <f>CEILING(AJ93*Настройки!$O$15*IF(SUM(O67:O79)&gt;0,1,0),Настройки!$Q$15)*A81</f>
        <v>0</v>
      </c>
      <c r="W93" s="168" t="s">
        <v>676</v>
      </c>
      <c r="X93" s="160"/>
      <c r="Y93" s="160">
        <v>3173.1</v>
      </c>
      <c r="Z93" s="160">
        <v>4273.5</v>
      </c>
      <c r="AA93" s="160">
        <v>5366.55</v>
      </c>
      <c r="AB93" s="160">
        <v>8132.25</v>
      </c>
      <c r="AC93" s="160">
        <v>14356.650000000001</v>
      </c>
      <c r="AD93" s="160">
        <v>19179.3</v>
      </c>
      <c r="AE93" s="160">
        <v>24705.45</v>
      </c>
      <c r="AF93" s="160">
        <v>29601.600000000002</v>
      </c>
      <c r="AG93" s="160">
        <v>9063.3464459999996</v>
      </c>
      <c r="AH93" s="160">
        <v>11996.683524</v>
      </c>
      <c r="AI93" s="160">
        <v>14928.663204</v>
      </c>
      <c r="AJ93" s="160">
        <v>29592.633798000006</v>
      </c>
    </row>
    <row r="94" spans="1:36" ht="15.75" thickBot="1">
      <c r="B94" s="158" t="s">
        <v>671</v>
      </c>
      <c r="C94" s="161"/>
      <c r="D94" s="161"/>
      <c r="E94" s="161"/>
      <c r="F94" s="161"/>
      <c r="G94" s="161"/>
      <c r="H94" s="161"/>
      <c r="I94" s="161"/>
      <c r="J94" s="161"/>
      <c r="K94" s="161"/>
      <c r="L94" s="161"/>
      <c r="M94" s="161"/>
      <c r="N94" s="161"/>
      <c r="O94" s="161"/>
      <c r="W94" s="158" t="s">
        <v>671</v>
      </c>
      <c r="X94" s="161"/>
      <c r="Y94" s="161"/>
      <c r="Z94" s="161"/>
      <c r="AA94" s="161"/>
      <c r="AB94" s="161"/>
      <c r="AC94" s="161"/>
      <c r="AD94" s="161"/>
      <c r="AE94" s="161"/>
      <c r="AF94" s="161"/>
      <c r="AG94" s="161"/>
      <c r="AH94" s="161"/>
      <c r="AI94" s="161"/>
      <c r="AJ94" s="161"/>
    </row>
    <row r="98" spans="2:10">
      <c r="B98" s="150" t="s">
        <v>643</v>
      </c>
      <c r="E98">
        <v>130</v>
      </c>
      <c r="G98" t="s">
        <v>93</v>
      </c>
      <c r="I98" t="s">
        <v>93</v>
      </c>
    </row>
    <row r="99" spans="2:10" ht="15.75" thickBot="1">
      <c r="B99" s="153" t="s">
        <v>645</v>
      </c>
      <c r="E99">
        <v>170</v>
      </c>
      <c r="G99" s="157" t="s">
        <v>658</v>
      </c>
      <c r="H99">
        <f>IF(G99=Печать!$G$29,1,0)</f>
        <v>0</v>
      </c>
      <c r="I99" t="s">
        <v>295</v>
      </c>
    </row>
    <row r="100" spans="2:10" ht="15.75" thickBot="1">
      <c r="B100" s="153" t="s">
        <v>647</v>
      </c>
      <c r="E100">
        <v>300</v>
      </c>
      <c r="G100" s="157" t="s">
        <v>654</v>
      </c>
      <c r="H100">
        <f>IF(G100=Печать!$G$29,1,0)</f>
        <v>0</v>
      </c>
      <c r="I100" t="s">
        <v>655</v>
      </c>
      <c r="J100">
        <f>IF(Печать!H29=I99,1,0)</f>
        <v>0</v>
      </c>
    </row>
    <row r="101" spans="2:10" ht="15.75" thickBot="1">
      <c r="B101" s="153" t="s">
        <v>648</v>
      </c>
      <c r="G101" s="157" t="s">
        <v>659</v>
      </c>
      <c r="H101">
        <f>IF(G101=Печать!$G$29,1,0)</f>
        <v>0</v>
      </c>
      <c r="I101" t="s">
        <v>677</v>
      </c>
      <c r="J101">
        <f>IF(Печать!I29=I99,1,0)</f>
        <v>0</v>
      </c>
    </row>
    <row r="102" spans="2:10" ht="15.75" thickBot="1">
      <c r="B102" s="153" t="s">
        <v>649</v>
      </c>
      <c r="G102" s="157" t="s">
        <v>660</v>
      </c>
      <c r="H102">
        <f>IF(G102=Печать!$G$29,1,0)</f>
        <v>0</v>
      </c>
      <c r="I102" t="s">
        <v>290</v>
      </c>
      <c r="J102">
        <f>IF(Печать!J29=I99,1,0)</f>
        <v>0</v>
      </c>
    </row>
    <row r="103" spans="2:10" ht="15.75" thickBot="1">
      <c r="B103" s="153" t="s">
        <v>20</v>
      </c>
      <c r="G103" s="157"/>
      <c r="I103" t="s">
        <v>160</v>
      </c>
      <c r="J103">
        <f>IF(Печать!K29=I99,1,0)</f>
        <v>0</v>
      </c>
    </row>
    <row r="104" spans="2:10" ht="15.75" thickBot="1">
      <c r="B104" s="153" t="s">
        <v>650</v>
      </c>
      <c r="G104" s="159"/>
    </row>
    <row r="105" spans="2:10" ht="15.75" thickBot="1">
      <c r="B105" s="153" t="s">
        <v>651</v>
      </c>
    </row>
    <row r="106" spans="2:10" ht="15.75" thickBot="1">
      <c r="B106" s="153" t="s">
        <v>652</v>
      </c>
    </row>
    <row r="107" spans="2:10" ht="15.75" thickBot="1">
      <c r="B107" s="153" t="s">
        <v>653</v>
      </c>
    </row>
    <row r="108" spans="2:10" ht="15.75" thickBot="1">
      <c r="B108" s="153" t="s">
        <v>663</v>
      </c>
    </row>
    <row r="109" spans="2:10">
      <c r="B109" s="150" t="s">
        <v>664</v>
      </c>
    </row>
    <row r="110" spans="2:10" ht="15.75" thickBot="1">
      <c r="B110" s="153" t="s">
        <v>665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X313"/>
  <sheetViews>
    <sheetView topLeftCell="A118" zoomScale="110" zoomScaleNormal="110" workbookViewId="0">
      <selection activeCell="B132" sqref="B132"/>
    </sheetView>
  </sheetViews>
  <sheetFormatPr defaultColWidth="9.140625" defaultRowHeight="15"/>
  <cols>
    <col min="1" max="1" width="31.5703125" style="73" customWidth="1"/>
    <col min="2" max="2" width="12.42578125" style="73" customWidth="1"/>
    <col min="3" max="3" width="10.5703125" style="73" customWidth="1"/>
    <col min="4" max="4" width="9.140625" style="73" customWidth="1"/>
    <col min="5" max="5" width="12.85546875" style="73" customWidth="1"/>
    <col min="6" max="26" width="9.140625" style="73" customWidth="1"/>
    <col min="27" max="16384" width="9.140625" style="73"/>
  </cols>
  <sheetData>
    <row r="1" spans="1:15">
      <c r="A1" s="73" t="s">
        <v>97</v>
      </c>
      <c r="B1" s="73">
        <v>185000</v>
      </c>
      <c r="C1" s="73" t="s">
        <v>109</v>
      </c>
      <c r="D1" s="73" t="s">
        <v>110</v>
      </c>
      <c r="E1" s="73" t="s">
        <v>116</v>
      </c>
      <c r="F1" s="73" t="s">
        <v>119</v>
      </c>
      <c r="G1" s="73" t="s">
        <v>120</v>
      </c>
      <c r="H1" s="73" t="s">
        <v>121</v>
      </c>
      <c r="I1" s="73" t="s">
        <v>317</v>
      </c>
    </row>
    <row r="2" spans="1:15">
      <c r="A2" s="73" t="s">
        <v>98</v>
      </c>
      <c r="M2" s="82" t="s">
        <v>319</v>
      </c>
      <c r="N2" s="73" t="str">
        <f>Форматы!K2</f>
        <v>A4</v>
      </c>
      <c r="O2" s="73" t="str">
        <f>Настройки!B13</f>
        <v>ОБЫЧНЫЙ</v>
      </c>
    </row>
    <row r="3" spans="1:15">
      <c r="A3" s="73" t="s">
        <v>99</v>
      </c>
      <c r="B3" s="73">
        <v>8</v>
      </c>
      <c r="G3" s="73" t="s">
        <v>122</v>
      </c>
      <c r="M3" s="83" t="s">
        <v>285</v>
      </c>
      <c r="N3" s="73">
        <f>SUM(I4:I8)*Форматы!N2+Себестоимости!D25+Себестоимости!G26+Себестоимости!G28</f>
        <v>1109.4192264302983</v>
      </c>
    </row>
    <row r="4" spans="1:15">
      <c r="A4" s="73" t="s">
        <v>100</v>
      </c>
      <c r="B4" s="73">
        <v>6487</v>
      </c>
      <c r="G4" s="73" t="str">
        <f>Настройки!F10</f>
        <v>SRA3</v>
      </c>
      <c r="H4" s="73">
        <f>Настройки!G10</f>
        <v>2.15</v>
      </c>
      <c r="I4" s="73">
        <f>IF(G4=$N$2,H4*SUM($I$9:$I$14),0)</f>
        <v>0</v>
      </c>
      <c r="J4" s="73">
        <f>IF(G4=$N$2,H4*SUM($J$9:$J$14),0)</f>
        <v>0</v>
      </c>
      <c r="M4" s="83" t="s">
        <v>318</v>
      </c>
      <c r="N4" s="73">
        <f>IF(SUM(J4:J8)&gt;0,SUM(J4:J8)*Форматы!N2+D25+G26+D27+G28,0)</f>
        <v>0</v>
      </c>
    </row>
    <row r="5" spans="1:15">
      <c r="A5" s="73" t="s">
        <v>101</v>
      </c>
      <c r="B5" s="73">
        <v>10500</v>
      </c>
      <c r="G5" s="73" t="str">
        <f>Настройки!F11</f>
        <v>A3</v>
      </c>
      <c r="H5" s="73">
        <f>Настройки!G11</f>
        <v>2</v>
      </c>
      <c r="I5" s="73">
        <f>IF(G5=$N$2,H5*SUM($I$9:$I$14),0)</f>
        <v>0</v>
      </c>
      <c r="J5" s="73">
        <f>IF(G5=$N$2,H5*SUM($J$9:$J$14),0)</f>
        <v>0</v>
      </c>
    </row>
    <row r="6" spans="1:15">
      <c r="A6" s="73" t="s">
        <v>102</v>
      </c>
      <c r="B6" s="73">
        <v>17000</v>
      </c>
      <c r="G6" s="73" t="str">
        <f>Настройки!F12</f>
        <v>SRA4</v>
      </c>
      <c r="H6" s="73">
        <f>Настройки!G12</f>
        <v>1.2</v>
      </c>
      <c r="I6" s="73">
        <f>IF(G6=$N$2,H6*SUM($I$9:$I$14),0)</f>
        <v>0</v>
      </c>
      <c r="J6" s="73">
        <f>IF(G6=$N$2,H6*SUM($J$9:$J$14),0)</f>
        <v>0</v>
      </c>
    </row>
    <row r="7" spans="1:15">
      <c r="G7" s="73" t="str">
        <f>Настройки!F13</f>
        <v>A4</v>
      </c>
      <c r="H7" s="73">
        <v>1</v>
      </c>
      <c r="I7" s="73">
        <f>IF(G7=$N$2,H7*SUM($I$9:$I$14),0)</f>
        <v>10.043628011204483</v>
      </c>
      <c r="J7" s="73">
        <f>IF(G7=$N$2,H7*SUM($J$9:$J$14),0)</f>
        <v>0</v>
      </c>
    </row>
    <row r="8" spans="1:15">
      <c r="G8" s="73" t="str">
        <f>Настройки!F14</f>
        <v>96*30,5</v>
      </c>
      <c r="H8" s="73">
        <f>Настройки!G14</f>
        <v>4.5999999999999996</v>
      </c>
      <c r="I8" s="73">
        <f>IF(G8=$N$2,H8*SUM($I$9:$I$14),0)</f>
        <v>0</v>
      </c>
      <c r="J8" s="73">
        <f>IF(G8=$N$2,H8*SUM($J$9:$J$14),0)</f>
        <v>0</v>
      </c>
    </row>
    <row r="9" spans="1:15">
      <c r="A9" s="73" t="s">
        <v>103</v>
      </c>
      <c r="B9" s="73">
        <v>23</v>
      </c>
      <c r="C9" s="73">
        <f t="shared" ref="C9:C14" si="0">$B$16/B9/60/2*$B$3</f>
        <v>9.2753623188405795E-3</v>
      </c>
      <c r="D9" s="73">
        <f>($B$5*3+$B$4)/$B$6</f>
        <v>2.2345294117647061</v>
      </c>
      <c r="E9" s="73">
        <f t="shared" ref="E9:E14" si="1">$B$20/$B$21/$B$22/60/B9</f>
        <v>0.93167701863354047</v>
      </c>
      <c r="F9" s="73">
        <f t="shared" ref="F9:F14" si="2">($B$17+$B$18+4*$B$19)/$B$15</f>
        <v>2.1017857142857141</v>
      </c>
      <c r="G9" s="73">
        <f t="shared" ref="G9:G14" si="3">$B$23</f>
        <v>1</v>
      </c>
      <c r="H9" s="73">
        <f t="shared" ref="H9:H14" si="4">SUM(C9:G9)</f>
        <v>6.2772675070028008</v>
      </c>
      <c r="I9" s="73">
        <f>IF($O$2="ОБЫЧНЫЙ",IF(Печать!$E$66=Печать!$C$3,Настройки!$K$4*Себестоимости!H9,0),0)</f>
        <v>10.043628011204483</v>
      </c>
      <c r="J9" s="73">
        <f>IF($O$2="ОБЫЧНЫЙ",IF(Печать!$E$66=Печать!$C$5,Настройки!$K$4*Себестоимости!H9,0),0)</f>
        <v>0</v>
      </c>
    </row>
    <row r="10" spans="1:15">
      <c r="A10" s="73" t="s">
        <v>104</v>
      </c>
      <c r="B10" s="73">
        <v>28</v>
      </c>
      <c r="C10" s="73">
        <f t="shared" si="0"/>
        <v>7.6190476190476199E-3</v>
      </c>
      <c r="D10" s="73">
        <f>($B$4)/$B$6</f>
        <v>0.38158823529411767</v>
      </c>
      <c r="E10" s="73">
        <f t="shared" si="1"/>
        <v>0.76530612244897966</v>
      </c>
      <c r="F10" s="73">
        <f t="shared" si="2"/>
        <v>2.1017857142857141</v>
      </c>
      <c r="G10" s="73">
        <f t="shared" si="3"/>
        <v>1</v>
      </c>
      <c r="H10" s="73">
        <f t="shared" si="4"/>
        <v>4.256299119647859</v>
      </c>
      <c r="I10" s="73">
        <f>IF($O$2="ОБЫЧНЫЙ",IF(Печать!E67=Печать!C3,Настройки!$K$4*Себестоимости!H10,0),0)</f>
        <v>0</v>
      </c>
      <c r="J10" s="73">
        <f>IF($O$2="ОБЫЧНЫЙ",IF(Печать!E67=Печать!C5,Настройки!$K$4*Себестоимости!H10,0),0)</f>
        <v>0</v>
      </c>
    </row>
    <row r="11" spans="1:15">
      <c r="A11" s="73" t="s">
        <v>111</v>
      </c>
      <c r="B11" s="73">
        <v>15</v>
      </c>
      <c r="C11" s="73">
        <f t="shared" si="0"/>
        <v>1.4222222222222223E-2</v>
      </c>
      <c r="D11" s="73">
        <f>($B$5*3+$B$4)/$B$6</f>
        <v>2.2345294117647061</v>
      </c>
      <c r="E11" s="73">
        <f t="shared" si="1"/>
        <v>1.4285714285714286</v>
      </c>
      <c r="F11" s="73">
        <f t="shared" si="2"/>
        <v>2.1017857142857141</v>
      </c>
      <c r="G11" s="73">
        <f t="shared" si="3"/>
        <v>1</v>
      </c>
      <c r="H11" s="73">
        <f t="shared" si="4"/>
        <v>6.7791087768440708</v>
      </c>
      <c r="I11" s="73">
        <f>IF($O$2="ТОЛСТЫЙ2",IF(Печать!$E$66=Печать!$C$3,Настройки!$K$4*Себестоимости!H11,0),0)</f>
        <v>0</v>
      </c>
      <c r="J11" s="73">
        <f>IF($O$2="ТОЛСТЫЙ2",IF(Печать!$E$66=Печать!$C$5,Настройки!$K$4*Себестоимости!H11,0),0)</f>
        <v>0</v>
      </c>
    </row>
    <row r="12" spans="1:15">
      <c r="A12" s="73" t="s">
        <v>113</v>
      </c>
      <c r="B12" s="73">
        <v>18</v>
      </c>
      <c r="C12" s="73">
        <f t="shared" si="0"/>
        <v>1.1851851851851853E-2</v>
      </c>
      <c r="D12" s="73">
        <f>($B$4)/$B$6</f>
        <v>0.38158823529411767</v>
      </c>
      <c r="E12" s="73">
        <f t="shared" si="1"/>
        <v>1.1904761904761907</v>
      </c>
      <c r="F12" s="73">
        <f t="shared" si="2"/>
        <v>2.1017857142857141</v>
      </c>
      <c r="G12" s="73">
        <f t="shared" si="3"/>
        <v>1</v>
      </c>
      <c r="H12" s="73">
        <f t="shared" si="4"/>
        <v>4.6857019919078748</v>
      </c>
      <c r="I12" s="73">
        <f>IF($O$2="ТОЛСТЫЙ2",IF(Печать!E67=Печать!C3,Настройки!$K$4*Себестоимости!H12,0),0)</f>
        <v>0</v>
      </c>
      <c r="J12" s="73">
        <f>IF($O$2="ТОЛСТЫЙ2",IF(Печать!E67=Печать!C5,Настройки!$K$4*Себестоимости!H12,0),0)</f>
        <v>0</v>
      </c>
    </row>
    <row r="13" spans="1:15">
      <c r="A13" s="73" t="s">
        <v>112</v>
      </c>
      <c r="B13" s="73">
        <v>7</v>
      </c>
      <c r="C13" s="73">
        <f t="shared" si="0"/>
        <v>3.047619047619048E-2</v>
      </c>
      <c r="D13" s="73">
        <f>($B$5*3+$B$4)/$B$6</f>
        <v>2.2345294117647061</v>
      </c>
      <c r="E13" s="73">
        <f t="shared" si="1"/>
        <v>3.0612244897959187</v>
      </c>
      <c r="F13" s="73">
        <f t="shared" si="2"/>
        <v>2.1017857142857141</v>
      </c>
      <c r="G13" s="73">
        <f t="shared" si="3"/>
        <v>1</v>
      </c>
      <c r="H13" s="73">
        <f t="shared" si="4"/>
        <v>8.428015806322529</v>
      </c>
      <c r="I13" s="73">
        <f>IF($O$2="ТОЛСТЫЙ4",IF(Печать!$E$66=Печать!$C$3,Настройки!$K$4*Себестоимости!H13,0),0)</f>
        <v>0</v>
      </c>
      <c r="J13" s="73">
        <f>IF($O$2="ТОЛСТЫЙ4",IF(Печать!$E$66=Печать!$C$5,Настройки!$K$4*Себестоимости!H13,0),0)</f>
        <v>0</v>
      </c>
    </row>
    <row r="14" spans="1:15">
      <c r="A14" s="73" t="s">
        <v>114</v>
      </c>
      <c r="B14" s="73">
        <v>9</v>
      </c>
      <c r="C14" s="73">
        <f t="shared" si="0"/>
        <v>2.3703703703703706E-2</v>
      </c>
      <c r="D14" s="73">
        <f>($B$4)/$B$6</f>
        <v>0.38158823529411767</v>
      </c>
      <c r="E14" s="73">
        <f t="shared" si="1"/>
        <v>2.3809523809523814</v>
      </c>
      <c r="F14" s="73">
        <f t="shared" si="2"/>
        <v>2.1017857142857141</v>
      </c>
      <c r="G14" s="73">
        <f t="shared" si="3"/>
        <v>1</v>
      </c>
      <c r="H14" s="73">
        <f t="shared" si="4"/>
        <v>5.8880300342359169</v>
      </c>
      <c r="I14" s="73">
        <f>IF($O$2="ТОЛСТЫЙ4",IF(Печать!E67=Печать!C3,Настройки!$K$4*Себестоимости!H14,0),0)</f>
        <v>0</v>
      </c>
      <c r="J14" s="73">
        <f>IF($O$2="ТОЛСТЫЙ4",IF(Печать!E67=Печать!C5,Настройки!$K$4*Себестоимости!H14,0),0)</f>
        <v>0</v>
      </c>
    </row>
    <row r="15" spans="1:15">
      <c r="A15" s="73" t="s">
        <v>105</v>
      </c>
      <c r="B15" s="73">
        <v>56000</v>
      </c>
    </row>
    <row r="16" spans="1:15">
      <c r="A16" s="73" t="s">
        <v>278</v>
      </c>
      <c r="B16" s="73">
        <v>3.2</v>
      </c>
    </row>
    <row r="17" spans="1:20">
      <c r="A17" s="73" t="s">
        <v>106</v>
      </c>
      <c r="B17" s="73">
        <v>9700</v>
      </c>
      <c r="H17" s="82" t="s">
        <v>160</v>
      </c>
      <c r="I17" s="73">
        <f>CEILING(SUM(I18:I19,I22:I24),1)</f>
        <v>325</v>
      </c>
      <c r="J17" s="73">
        <f>I17/Печать!A3</f>
        <v>3.25</v>
      </c>
      <c r="L17" s="73" t="s">
        <v>484</v>
      </c>
      <c r="M17" s="73">
        <f>SUM(L18:L24)</f>
        <v>3540.0614005602242</v>
      </c>
      <c r="N17" s="73">
        <f>M17/Печать!I4</f>
        <v>35.400614005602243</v>
      </c>
    </row>
    <row r="18" spans="1:20">
      <c r="A18" s="73" t="s">
        <v>107</v>
      </c>
      <c r="B18" s="73">
        <v>88000</v>
      </c>
      <c r="H18" s="83" t="s">
        <v>349</v>
      </c>
      <c r="I18" s="73">
        <f>(B24/B21/B22/60)*5+Аксессуры!B17</f>
        <v>41.666666666666671</v>
      </c>
      <c r="L18" s="73">
        <f>I18</f>
        <v>41.666666666666671</v>
      </c>
    </row>
    <row r="19" spans="1:20">
      <c r="A19" s="73" t="s">
        <v>108</v>
      </c>
      <c r="B19" s="73">
        <v>5000</v>
      </c>
      <c r="H19" s="83" t="s">
        <v>354</v>
      </c>
      <c r="I19" s="73">
        <f>SUM(I4:J8)*Форматы!N2/100*Себестоимости!I20</f>
        <v>70.305396078431386</v>
      </c>
      <c r="L19" s="73">
        <f>SUM(I4:J8)*Форматы!N2/100*L20+IF(H37&gt;H39,H37/100*L20,0)</f>
        <v>502.18140056022412</v>
      </c>
    </row>
    <row r="20" spans="1:20">
      <c r="A20" s="73" t="s">
        <v>115</v>
      </c>
      <c r="B20" s="73">
        <v>180000</v>
      </c>
      <c r="H20" s="83" t="s">
        <v>350</v>
      </c>
      <c r="I20" s="73">
        <v>7</v>
      </c>
      <c r="L20" s="73">
        <v>50</v>
      </c>
    </row>
    <row r="21" spans="1:20">
      <c r="A21" s="73" t="s">
        <v>117</v>
      </c>
      <c r="B21" s="73">
        <v>20</v>
      </c>
      <c r="H21" s="83" t="s">
        <v>351</v>
      </c>
      <c r="I21" s="73">
        <v>4</v>
      </c>
      <c r="L21" s="73">
        <v>2</v>
      </c>
      <c r="P21" s="73" t="s">
        <v>631</v>
      </c>
    </row>
    <row r="22" spans="1:20">
      <c r="A22" s="73" t="s">
        <v>118</v>
      </c>
      <c r="B22" s="73">
        <v>7</v>
      </c>
      <c r="H22" s="83" t="s">
        <v>352</v>
      </c>
      <c r="I22" s="73">
        <f>B3*1.3/60/I21*Печать!A3/Форматы!F2</f>
        <v>4.3333333333333339</v>
      </c>
      <c r="L22" s="73">
        <f>B3*1.3/60/L21*Печать!A3</f>
        <v>8.6666666666666679</v>
      </c>
      <c r="P22" s="73" t="s">
        <v>630</v>
      </c>
    </row>
    <row r="23" spans="1:20">
      <c r="A23" s="73" t="s">
        <v>120</v>
      </c>
      <c r="B23" s="73">
        <v>1</v>
      </c>
      <c r="H23" s="83" t="s">
        <v>353</v>
      </c>
      <c r="I23" s="73">
        <f>(B24/B21/B22/60)*(Печать!A3/Себестоимости!I21)/Форматы!F2</f>
        <v>208.33333333333334</v>
      </c>
      <c r="L23" s="73">
        <f>(B24/B21/B22/60)*(Печать!A3/L21)</f>
        <v>416.66666666666669</v>
      </c>
      <c r="P23" s="73" t="s">
        <v>632</v>
      </c>
    </row>
    <row r="24" spans="1:20">
      <c r="A24" s="73" t="s">
        <v>173</v>
      </c>
      <c r="B24" s="73">
        <v>70000</v>
      </c>
      <c r="H24" s="83" t="s">
        <v>355</v>
      </c>
      <c r="I24" s="73">
        <f>Печать!A3/Форматы!F2*Аксессуры!B17</f>
        <v>0</v>
      </c>
      <c r="L24" s="73">
        <f>(Аксессуры!B19*Форматы!N2)*(1+L20/100)</f>
        <v>2518.88</v>
      </c>
    </row>
    <row r="25" spans="1:20">
      <c r="A25" s="73" t="s">
        <v>171</v>
      </c>
      <c r="B25" s="73">
        <v>5</v>
      </c>
      <c r="C25" s="73" t="s">
        <v>174</v>
      </c>
      <c r="D25" s="73">
        <f>(B24/B21/B22/60*B25+B3*5/60+F29*B25)*Печать!B3</f>
        <v>48.204174820613176</v>
      </c>
    </row>
    <row r="26" spans="1:20">
      <c r="A26" s="73" t="s">
        <v>177</v>
      </c>
      <c r="B26" s="73">
        <v>0.3</v>
      </c>
      <c r="C26" s="73" t="s">
        <v>174</v>
      </c>
      <c r="D26" s="73">
        <f>$B$24/$B$21/$B$22/60*B26+$F$29*B26</f>
        <v>2.8522504892367904</v>
      </c>
      <c r="F26" s="83" t="s">
        <v>326</v>
      </c>
      <c r="G26" s="73">
        <f>(D26*Форматы!F2)*Печать!B3</f>
        <v>2.8522504892367904</v>
      </c>
      <c r="I26" s="83" t="s">
        <v>764</v>
      </c>
      <c r="J26" s="73">
        <f>B24/B21/B22/60*2</f>
        <v>16.666666666666668</v>
      </c>
    </row>
    <row r="27" spans="1:20">
      <c r="A27" s="73" t="s">
        <v>172</v>
      </c>
      <c r="B27" s="73">
        <v>5</v>
      </c>
      <c r="C27" s="73" t="s">
        <v>174</v>
      </c>
      <c r="D27" s="73">
        <f>$B$24/$B$21/$B$22/60*B27+$F$29*B27</f>
        <v>47.537508153946519</v>
      </c>
    </row>
    <row r="28" spans="1:20">
      <c r="A28" s="73" t="s">
        <v>178</v>
      </c>
      <c r="B28" s="73">
        <v>2</v>
      </c>
      <c r="C28" s="73" t="s">
        <v>324</v>
      </c>
      <c r="D28" s="73">
        <f>$B$24/$B$21/$B$22/60*B28</f>
        <v>16.666666666666668</v>
      </c>
      <c r="E28" s="73">
        <f>CEILING(IF($O$2="ТОЛСТЫЙ4",Форматы!N2*Резка!I9/1000,IF($O$2="ТОЛСТЫЙ2",Форматы!N2*Резка!I6/1000,IF($O$2="ОБЫЧНЫЙ",Форматы!N2*Резка!I3/1000)))/10,1)</f>
        <v>2</v>
      </c>
      <c r="F28" s="73" t="s">
        <v>325</v>
      </c>
      <c r="G28" s="73">
        <f>CEILING(Настройки!K4*Себестоимости!E28*Себестоимости!D28,1)</f>
        <v>54</v>
      </c>
      <c r="S28" s="73" t="s">
        <v>632</v>
      </c>
      <c r="T28" s="73">
        <f>Новинки!P5</f>
        <v>104</v>
      </c>
    </row>
    <row r="29" spans="1:20">
      <c r="A29" s="73" t="s">
        <v>175</v>
      </c>
      <c r="B29" s="73">
        <v>90000</v>
      </c>
      <c r="C29" s="73" t="s">
        <v>176</v>
      </c>
      <c r="D29" s="73">
        <v>3</v>
      </c>
      <c r="E29" s="73" t="s">
        <v>120</v>
      </c>
      <c r="F29" s="73">
        <f>B29/365*2/B22/60</f>
        <v>1.1741682974559686</v>
      </c>
      <c r="K29" s="73" t="s">
        <v>336</v>
      </c>
      <c r="L29" s="73">
        <v>9</v>
      </c>
      <c r="M29" s="73">
        <v>4</v>
      </c>
      <c r="N29" s="73">
        <v>4</v>
      </c>
      <c r="O29" s="73">
        <v>8</v>
      </c>
      <c r="P29" s="73">
        <v>2</v>
      </c>
      <c r="S29" s="73" t="s">
        <v>630</v>
      </c>
      <c r="T29" s="73">
        <f>Новинки!P6</f>
        <v>115</v>
      </c>
    </row>
    <row r="30" spans="1:20">
      <c r="A30" s="73" t="s">
        <v>682</v>
      </c>
      <c r="B30" s="73">
        <v>23</v>
      </c>
      <c r="C30" s="73" t="s">
        <v>632</v>
      </c>
      <c r="D30" s="73" t="s">
        <v>687</v>
      </c>
      <c r="E30" s="73">
        <v>1000</v>
      </c>
      <c r="F30" s="73" t="s">
        <v>689</v>
      </c>
      <c r="G30" s="73">
        <v>15000</v>
      </c>
      <c r="H30" s="73" t="s">
        <v>692</v>
      </c>
      <c r="I30" s="73">
        <f>E30/G30/L30*N30</f>
        <v>6.6666666666666666E-2</v>
      </c>
      <c r="J30" s="73" t="s">
        <v>690</v>
      </c>
      <c r="L30" s="73">
        <v>15</v>
      </c>
      <c r="M30" s="73" t="s">
        <v>691</v>
      </c>
      <c r="N30" s="73">
        <v>15</v>
      </c>
    </row>
    <row r="31" spans="1:20">
      <c r="A31" s="73" t="s">
        <v>683</v>
      </c>
      <c r="B31" s="73">
        <v>71</v>
      </c>
      <c r="C31" s="73" t="s">
        <v>632</v>
      </c>
      <c r="D31" s="73" t="s">
        <v>685</v>
      </c>
      <c r="E31" s="73">
        <v>200</v>
      </c>
      <c r="F31" s="73" t="s">
        <v>686</v>
      </c>
      <c r="G31" s="73">
        <f>B31/E31</f>
        <v>0.35499999999999998</v>
      </c>
    </row>
    <row r="32" spans="1:20">
      <c r="A32" s="73" t="s">
        <v>684</v>
      </c>
      <c r="B32" s="73">
        <f>G31+(B30/E30*E32)</f>
        <v>0.45849999999999996</v>
      </c>
      <c r="D32" s="73" t="s">
        <v>688</v>
      </c>
      <c r="E32" s="73">
        <v>4.5</v>
      </c>
      <c r="G32" s="73" t="s">
        <v>283</v>
      </c>
      <c r="H32" s="73">
        <f>CEILING(Печать!B33/Форматы!F26,1)</f>
        <v>100</v>
      </c>
    </row>
    <row r="33" spans="1:24">
      <c r="A33" s="73" t="s">
        <v>693</v>
      </c>
      <c r="B33" s="73">
        <f>B30/E30*I30</f>
        <v>1.5333333333333334E-3</v>
      </c>
      <c r="D33" s="73" t="s">
        <v>694</v>
      </c>
      <c r="E33" s="73">
        <f>B33+B32+G31</f>
        <v>0.81503333333333328</v>
      </c>
      <c r="G33" s="73" t="s">
        <v>174</v>
      </c>
      <c r="H33" s="73">
        <f>E33+(B33*(H32-1))</f>
        <v>0.96683333333333332</v>
      </c>
      <c r="I33" s="73" t="s">
        <v>697</v>
      </c>
      <c r="J33" s="73">
        <f>H33*Новинки!P5</f>
        <v>100.55066666666667</v>
      </c>
      <c r="K33" s="73">
        <f>G36*H32</f>
        <v>88</v>
      </c>
      <c r="L33" s="73" t="s">
        <v>383</v>
      </c>
      <c r="M33" s="73">
        <f>(J33+K33)*Настройки!L4+M34+O34+Q34</f>
        <v>437.10133333333334</v>
      </c>
      <c r="N33" s="181">
        <f>M33/H32</f>
        <v>4.3710133333333339</v>
      </c>
    </row>
    <row r="34" spans="1:24">
      <c r="L34" s="73" t="s">
        <v>698</v>
      </c>
      <c r="M34" s="73">
        <f>IF(Печать!C33=Печать!C120,J33*Настройки!L4,0)</f>
        <v>0</v>
      </c>
      <c r="N34" s="73" t="s">
        <v>542</v>
      </c>
      <c r="O34" s="73">
        <f>CEILING(((J33+K33)*Настройки!L4+M34)*Настройки!O20%,10)</f>
        <v>60</v>
      </c>
      <c r="P34" s="73" t="s">
        <v>288</v>
      </c>
      <c r="Q34" s="73">
        <f>IF(Печать!G33=Печать!I65,H32*Настройки!L17,0)</f>
        <v>0</v>
      </c>
    </row>
    <row r="35" spans="1:24">
      <c r="A35" s="73">
        <f>Переплёт!I9</f>
        <v>19</v>
      </c>
      <c r="B35" s="73" t="str">
        <f>LOOKUP(A35,A37:B178)</f>
        <v>CURIOUS Matter</v>
      </c>
      <c r="C35" s="73">
        <f>LOOKUP($A$37,$A$39:C178)</f>
        <v>0</v>
      </c>
      <c r="E35" s="73" t="str">
        <f>LOOKUP(A35,A37:E174)</f>
        <v>Белый</v>
      </c>
      <c r="F35" s="73">
        <f>LOOKUP(A35,A39:F178)</f>
        <v>270</v>
      </c>
      <c r="G35" s="73">
        <f>CEILING(LOOKUP(A35,A39:G178),1)</f>
        <v>68</v>
      </c>
      <c r="H35" s="73">
        <f>LOOKUP(A35,A39:V173)</f>
        <v>1</v>
      </c>
    </row>
    <row r="36" spans="1:24">
      <c r="A36" s="73">
        <f>Печать!D33</f>
        <v>100</v>
      </c>
      <c r="B36" s="73" t="str">
        <f>LOOKUP(A36,A38:B178)</f>
        <v>Снегурочка</v>
      </c>
      <c r="C36" s="73">
        <f>LOOKUP($A$37,$A$39:C178)</f>
        <v>0</v>
      </c>
      <c r="E36" s="73" t="str">
        <f>LOOKUP(A36,A38:E173)</f>
        <v>Белый</v>
      </c>
      <c r="F36" s="73">
        <f>LOOKUP(A36,A38:F178)</f>
        <v>80</v>
      </c>
      <c r="G36" s="73">
        <f>LOOKUP(A36,A38:J178)</f>
        <v>0.88</v>
      </c>
    </row>
    <row r="37" spans="1:24">
      <c r="A37" s="73">
        <f>Печать!F3</f>
        <v>100</v>
      </c>
      <c r="B37" s="73" t="str">
        <f>LOOKUP(A37,A39:B178)</f>
        <v>Снегурочка</v>
      </c>
      <c r="C37" s="73">
        <f>LOOKUP($A$37,$A$39:C178)</f>
        <v>0</v>
      </c>
      <c r="E37" s="73" t="str">
        <f>LOOKUP(A37,A39:E174)</f>
        <v>Белый</v>
      </c>
      <c r="F37" s="73">
        <f>LOOKUP(A37,A39:F178)</f>
        <v>80</v>
      </c>
      <c r="G37" s="73">
        <f>LOOKUP(A37,A39:G178)*IF(N2=G7,H7,IF(N2=G6,H6,IF(N2=G5,H5,IF(N2=G4,H4,H8))))</f>
        <v>1.4500000000000002</v>
      </c>
      <c r="H37" s="73">
        <f>LOOKUP(A37,A39:H174)</f>
        <v>0</v>
      </c>
      <c r="L37" s="73">
        <f>LOOKUP($A$37,$A$39:L173)</f>
        <v>1</v>
      </c>
      <c r="M37" s="73">
        <f>LOOKUP($A$37,$A$39:M173)</f>
        <v>0</v>
      </c>
      <c r="N37" s="73">
        <f>LOOKUP($A$37,$A$39:N173)</f>
        <v>1</v>
      </c>
      <c r="O37" s="73">
        <f>LOOKUP($A$37,$A$39:O173)</f>
        <v>0</v>
      </c>
      <c r="P37" s="73">
        <f>LOOKUP($A$37,$A$39:P173)</f>
        <v>0</v>
      </c>
      <c r="Q37" s="73" t="str">
        <f>LOOKUP($A$37,$A$39:Q173)</f>
        <v>фальц</v>
      </c>
    </row>
    <row r="38" spans="1:24" ht="24">
      <c r="A38" s="74" t="s">
        <v>179</v>
      </c>
      <c r="B38" s="74" t="s">
        <v>180</v>
      </c>
      <c r="C38" s="74" t="s">
        <v>181</v>
      </c>
      <c r="D38" s="74"/>
      <c r="E38" s="74" t="s">
        <v>182</v>
      </c>
      <c r="F38" s="74" t="s">
        <v>183</v>
      </c>
      <c r="G38" s="74" t="s">
        <v>333</v>
      </c>
      <c r="H38" s="74" t="s">
        <v>184</v>
      </c>
      <c r="J38" s="74" t="s">
        <v>334</v>
      </c>
      <c r="K38" s="74" t="s">
        <v>277</v>
      </c>
      <c r="L38" s="73" t="s">
        <v>126</v>
      </c>
      <c r="M38" s="73" t="s">
        <v>123</v>
      </c>
      <c r="N38" s="73" t="s">
        <v>124</v>
      </c>
      <c r="O38" s="73" t="s">
        <v>125</v>
      </c>
      <c r="P38" s="73" t="s">
        <v>127</v>
      </c>
      <c r="Q38" s="73" t="s">
        <v>456</v>
      </c>
      <c r="V38" s="73" t="s">
        <v>1223</v>
      </c>
      <c r="X38" s="73" t="s">
        <v>1367</v>
      </c>
    </row>
    <row r="39" spans="1:24" ht="15.75" customHeight="1">
      <c r="A39" s="84">
        <v>0</v>
      </c>
      <c r="B39" s="85" t="s">
        <v>185</v>
      </c>
      <c r="C39" s="85" t="s">
        <v>186</v>
      </c>
      <c r="D39" s="85"/>
      <c r="E39" s="85" t="s">
        <v>313</v>
      </c>
      <c r="F39" s="84">
        <v>300</v>
      </c>
      <c r="G39" s="84">
        <f>CEILING(J39*K39,Настройки!$D$1)</f>
        <v>33.300000000000004</v>
      </c>
      <c r="H39" s="84">
        <f>CEILING(G39*Резка!$B$4,10)</f>
        <v>3330</v>
      </c>
      <c r="J39" s="73">
        <f t="shared" ref="J39:J49" si="5">IF(T39=$S$28,S39*$T$28/U39,IF(T39=$S$29,S39*$T$29/U39,S39/U39))</f>
        <v>20.8</v>
      </c>
      <c r="K39" s="84">
        <f>Настройки!$K$6</f>
        <v>1.6</v>
      </c>
      <c r="L39" s="73">
        <v>1</v>
      </c>
      <c r="M39" s="73">
        <v>1</v>
      </c>
      <c r="N39" s="73">
        <f>M39</f>
        <v>1</v>
      </c>
      <c r="O39" s="73">
        <f>M39</f>
        <v>1</v>
      </c>
      <c r="P39" s="73">
        <v>0</v>
      </c>
      <c r="Q39" s="73" t="s">
        <v>457</v>
      </c>
      <c r="S39" s="73">
        <v>5200</v>
      </c>
      <c r="T39" s="73" t="s">
        <v>631</v>
      </c>
      <c r="U39" s="73">
        <v>250</v>
      </c>
      <c r="V39" s="73">
        <v>1</v>
      </c>
    </row>
    <row r="40" spans="1:24" ht="15.75" customHeight="1">
      <c r="A40" s="84">
        <v>1</v>
      </c>
      <c r="B40" s="85" t="s">
        <v>1365</v>
      </c>
      <c r="C40" s="85" t="s">
        <v>186</v>
      </c>
      <c r="D40" s="85"/>
      <c r="E40" s="85" t="s">
        <v>1366</v>
      </c>
      <c r="F40" s="84">
        <v>160</v>
      </c>
      <c r="G40" s="84">
        <f>CEILING(J40*K40,Настройки!$D$1)</f>
        <v>3.2</v>
      </c>
      <c r="H40" s="84">
        <f>CEILING(G40*Резка!$B$4,10)</f>
        <v>320</v>
      </c>
      <c r="J40" s="73">
        <f t="shared" ref="J40" si="6">IF(T40=$S$28,S40*$T$28/U40,IF(T40=$S$29,S40*$T$29/U40,S40/U40))</f>
        <v>1.99</v>
      </c>
      <c r="K40" s="84">
        <f>Настройки!$K$6</f>
        <v>1.6</v>
      </c>
      <c r="L40" s="73">
        <v>2</v>
      </c>
      <c r="M40" s="73">
        <v>2</v>
      </c>
      <c r="N40" s="73">
        <f>M40</f>
        <v>2</v>
      </c>
      <c r="O40" s="73">
        <f>M40</f>
        <v>2</v>
      </c>
      <c r="P40" s="73">
        <v>1</v>
      </c>
      <c r="Q40" s="73" t="s">
        <v>457</v>
      </c>
      <c r="S40" s="73">
        <v>995</v>
      </c>
      <c r="T40" s="73" t="s">
        <v>631</v>
      </c>
      <c r="U40" s="73">
        <v>500</v>
      </c>
      <c r="V40" s="73">
        <v>1</v>
      </c>
      <c r="X40" s="73" t="s">
        <v>1368</v>
      </c>
    </row>
    <row r="41" spans="1:24" ht="24.75" customHeight="1">
      <c r="A41" s="86">
        <v>2</v>
      </c>
      <c r="B41" s="85" t="s">
        <v>1374</v>
      </c>
      <c r="C41" s="74" t="s">
        <v>1370</v>
      </c>
      <c r="E41" s="74" t="s">
        <v>313</v>
      </c>
      <c r="F41" s="86">
        <v>210</v>
      </c>
      <c r="G41" s="84">
        <f>CEILING(J41*K41,Настройки!$D$1)</f>
        <v>48</v>
      </c>
      <c r="H41" s="84">
        <f>CEILING(G41*Резка!$B$4,10)</f>
        <v>4800</v>
      </c>
      <c r="J41" s="73">
        <f>IF(T41=$S$28,S41*$T$28/U41,IF(T41=$S$29,S41*$T$29/U41,S41/U41))</f>
        <v>30</v>
      </c>
      <c r="K41" s="84">
        <f>Настройки!$K$6</f>
        <v>1.6</v>
      </c>
      <c r="L41" s="73">
        <v>1</v>
      </c>
      <c r="M41" s="73">
        <v>0</v>
      </c>
      <c r="N41" s="73">
        <f>M41</f>
        <v>0</v>
      </c>
      <c r="O41" s="73">
        <f>M41</f>
        <v>0</v>
      </c>
      <c r="P41" s="73">
        <v>0</v>
      </c>
      <c r="Q41" s="73" t="s">
        <v>457</v>
      </c>
      <c r="S41" s="73">
        <v>1500</v>
      </c>
      <c r="T41" s="73" t="s">
        <v>631</v>
      </c>
      <c r="U41" s="73">
        <v>50</v>
      </c>
      <c r="V41" s="73">
        <v>1</v>
      </c>
      <c r="X41" s="332" t="s">
        <v>1369</v>
      </c>
    </row>
    <row r="42" spans="1:24" ht="24.75" customHeight="1">
      <c r="A42" s="86">
        <v>3</v>
      </c>
      <c r="B42" s="85" t="s">
        <v>1375</v>
      </c>
      <c r="C42" s="74" t="s">
        <v>1226</v>
      </c>
      <c r="E42" s="74" t="s">
        <v>1226</v>
      </c>
      <c r="F42" s="86">
        <v>215</v>
      </c>
      <c r="G42" s="84">
        <f>CEILING(J42*K42,Настройки!$D$1)</f>
        <v>27.200000000000003</v>
      </c>
      <c r="H42" s="84">
        <f>CEILING(G42*Резка!$B$4,10)</f>
        <v>2720</v>
      </c>
      <c r="J42" s="73">
        <f>IF(T42=$S$28,S42*$T$28/U42,IF(T42=$S$29,S42*$T$29/U42,S42/U42))</f>
        <v>17</v>
      </c>
      <c r="K42" s="84">
        <f>Настройки!$K$6</f>
        <v>1.6</v>
      </c>
      <c r="L42" s="73">
        <v>1</v>
      </c>
      <c r="M42" s="73">
        <v>0</v>
      </c>
      <c r="N42" s="73">
        <f>M42</f>
        <v>0</v>
      </c>
      <c r="O42" s="73">
        <f>M42</f>
        <v>0</v>
      </c>
      <c r="P42" s="73">
        <v>0</v>
      </c>
      <c r="Q42" s="73" t="s">
        <v>457</v>
      </c>
      <c r="S42" s="73">
        <v>850</v>
      </c>
      <c r="T42" s="73" t="s">
        <v>631</v>
      </c>
      <c r="U42" s="73">
        <v>50</v>
      </c>
      <c r="V42" s="73">
        <v>1</v>
      </c>
    </row>
    <row r="43" spans="1:24" ht="24">
      <c r="A43" s="86">
        <v>4</v>
      </c>
      <c r="B43" s="85" t="s">
        <v>741</v>
      </c>
      <c r="C43" s="74" t="s">
        <v>1376</v>
      </c>
      <c r="E43" s="74" t="s">
        <v>272</v>
      </c>
      <c r="F43" s="86">
        <v>140</v>
      </c>
      <c r="G43" s="84">
        <f>CEILING(J43*K43,Настройки!$D$1)</f>
        <v>15.600000000000001</v>
      </c>
      <c r="H43" s="84">
        <f>CEILING(G43*Резка!$B$4,10)</f>
        <v>1560</v>
      </c>
      <c r="J43" s="73">
        <f t="shared" si="5"/>
        <v>9.75</v>
      </c>
      <c r="K43" s="84">
        <f>Настройки!$K$6</f>
        <v>1.6</v>
      </c>
      <c r="L43" s="73">
        <v>1</v>
      </c>
      <c r="M43" s="73">
        <v>0</v>
      </c>
      <c r="N43" s="73">
        <f t="shared" ref="N43:N115" si="7">M43</f>
        <v>0</v>
      </c>
      <c r="O43" s="73">
        <f t="shared" ref="O43:O115" si="8">M43</f>
        <v>0</v>
      </c>
      <c r="P43" s="73">
        <v>0</v>
      </c>
      <c r="Q43" s="73" t="s">
        <v>457</v>
      </c>
      <c r="S43" s="73">
        <v>1950</v>
      </c>
      <c r="T43" s="73" t="s">
        <v>631</v>
      </c>
      <c r="U43" s="73">
        <v>200</v>
      </c>
      <c r="V43" s="73">
        <v>1</v>
      </c>
    </row>
    <row r="44" spans="1:24" ht="15.75" customHeight="1">
      <c r="A44" s="86">
        <v>5</v>
      </c>
      <c r="B44" s="85" t="s">
        <v>192</v>
      </c>
      <c r="C44" s="74" t="s">
        <v>190</v>
      </c>
      <c r="E44" s="74" t="s">
        <v>1261</v>
      </c>
      <c r="F44" s="86">
        <v>290</v>
      </c>
      <c r="G44" s="84">
        <f>CEILING(J44*K44,Настройки!$D$1)</f>
        <v>78.95</v>
      </c>
      <c r="H44" s="84">
        <f>CEILING(G44*Резка!$B$4,10)</f>
        <v>7900</v>
      </c>
      <c r="J44" s="73">
        <f>IF(T44=$S$28,S44*$T$28/U44,IF(T44=$S$29,S44*$T$29/U44,S44/U44))</f>
        <v>49.333333333333336</v>
      </c>
      <c r="K44" s="84">
        <f>Настройки!$K$6</f>
        <v>1.6</v>
      </c>
      <c r="L44" s="73">
        <v>1</v>
      </c>
      <c r="M44" s="73">
        <v>0</v>
      </c>
      <c r="N44" s="73">
        <f>M44</f>
        <v>0</v>
      </c>
      <c r="O44" s="73">
        <f>M44</f>
        <v>0</v>
      </c>
      <c r="P44" s="73">
        <v>0</v>
      </c>
      <c r="Q44" s="73" t="s">
        <v>457</v>
      </c>
      <c r="S44" s="73">
        <v>444</v>
      </c>
      <c r="T44" s="73" t="s">
        <v>631</v>
      </c>
      <c r="U44" s="73">
        <v>9</v>
      </c>
      <c r="V44" s="73">
        <v>1</v>
      </c>
    </row>
    <row r="45" spans="1:24" ht="15.75" customHeight="1">
      <c r="A45" s="86">
        <v>6</v>
      </c>
      <c r="B45" s="85" t="s">
        <v>192</v>
      </c>
      <c r="C45" s="74" t="s">
        <v>190</v>
      </c>
      <c r="E45" s="74" t="s">
        <v>193</v>
      </c>
      <c r="F45" s="86">
        <v>290</v>
      </c>
      <c r="G45" s="84">
        <f>CEILING(J45*K45,Настройки!$D$1)</f>
        <v>78.95</v>
      </c>
      <c r="H45" s="84">
        <f>CEILING(G45*Резка!$B$4,10)</f>
        <v>7900</v>
      </c>
      <c r="J45" s="73">
        <f t="shared" si="5"/>
        <v>49.333333333333336</v>
      </c>
      <c r="K45" s="84">
        <f>Настройки!$K$6</f>
        <v>1.6</v>
      </c>
      <c r="L45" s="73">
        <v>1</v>
      </c>
      <c r="M45" s="73">
        <v>0</v>
      </c>
      <c r="N45" s="73">
        <f t="shared" si="7"/>
        <v>0</v>
      </c>
      <c r="O45" s="73">
        <f t="shared" si="8"/>
        <v>0</v>
      </c>
      <c r="P45" s="73">
        <v>0</v>
      </c>
      <c r="Q45" s="73" t="s">
        <v>457</v>
      </c>
      <c r="S45" s="73">
        <v>444</v>
      </c>
      <c r="T45" s="73" t="s">
        <v>631</v>
      </c>
      <c r="U45" s="73">
        <v>9</v>
      </c>
      <c r="V45" s="73">
        <v>1</v>
      </c>
    </row>
    <row r="46" spans="1:24" ht="15.75" customHeight="1">
      <c r="A46" s="86">
        <v>7</v>
      </c>
      <c r="B46" s="85" t="s">
        <v>192</v>
      </c>
      <c r="C46" s="74" t="s">
        <v>190</v>
      </c>
      <c r="E46" s="74" t="s">
        <v>1259</v>
      </c>
      <c r="F46" s="86">
        <v>290</v>
      </c>
      <c r="G46" s="84">
        <f>CEILING(J46*K46,Настройки!$D$1)</f>
        <v>78.95</v>
      </c>
      <c r="H46" s="84">
        <f>CEILING(G46*Резка!$B$4,10)</f>
        <v>7900</v>
      </c>
      <c r="J46" s="73">
        <f>IF(T46=$S$28,S46*$T$28/U46,IF(T46=$S$29,S46*$T$29/U46,S46/U46))</f>
        <v>49.333333333333336</v>
      </c>
      <c r="K46" s="84">
        <f>Настройки!$K$6</f>
        <v>1.6</v>
      </c>
      <c r="L46" s="73">
        <v>1</v>
      </c>
      <c r="M46" s="73">
        <v>0</v>
      </c>
      <c r="N46" s="73">
        <v>0</v>
      </c>
      <c r="O46" s="73">
        <v>0</v>
      </c>
      <c r="P46" s="73">
        <v>0</v>
      </c>
      <c r="Q46" s="73" t="s">
        <v>457</v>
      </c>
      <c r="S46" s="73">
        <v>444</v>
      </c>
      <c r="T46" s="73" t="s">
        <v>631</v>
      </c>
      <c r="U46" s="73">
        <v>9</v>
      </c>
      <c r="V46" s="73">
        <v>1</v>
      </c>
    </row>
    <row r="47" spans="1:24" ht="24" customHeight="1">
      <c r="A47" s="86">
        <v>8</v>
      </c>
      <c r="B47" s="74" t="s">
        <v>194</v>
      </c>
      <c r="C47" s="87" t="s">
        <v>195</v>
      </c>
      <c r="D47" s="87"/>
      <c r="E47" s="74" t="s">
        <v>303</v>
      </c>
      <c r="F47" s="86">
        <v>300</v>
      </c>
      <c r="G47" s="84">
        <f>CEILING(J47*K47,Настройки!$D$1)</f>
        <v>15.05</v>
      </c>
      <c r="H47" s="84">
        <f>CEILING(G47*Резка!$B$4,10)</f>
        <v>1510</v>
      </c>
      <c r="J47" s="73">
        <f t="shared" si="5"/>
        <v>9.4024000000000019</v>
      </c>
      <c r="K47" s="84">
        <f>Настройки!$K$6</f>
        <v>1.6</v>
      </c>
      <c r="L47" s="73">
        <v>1</v>
      </c>
      <c r="M47" s="73">
        <v>0</v>
      </c>
      <c r="N47" s="73">
        <f t="shared" si="7"/>
        <v>0</v>
      </c>
      <c r="O47" s="73">
        <f t="shared" si="8"/>
        <v>0</v>
      </c>
      <c r="P47" s="73">
        <v>0</v>
      </c>
      <c r="Q47" s="73" t="s">
        <v>457</v>
      </c>
      <c r="S47" s="73">
        <v>20.440000000000001</v>
      </c>
      <c r="T47" s="73" t="s">
        <v>630</v>
      </c>
      <c r="U47" s="73">
        <v>250</v>
      </c>
      <c r="V47" s="73">
        <v>1</v>
      </c>
    </row>
    <row r="48" spans="1:24">
      <c r="A48" s="86">
        <v>9</v>
      </c>
      <c r="B48" s="85" t="s">
        <v>196</v>
      </c>
      <c r="C48" s="74" t="s">
        <v>197</v>
      </c>
      <c r="D48" s="74"/>
      <c r="E48" s="74" t="s">
        <v>198</v>
      </c>
      <c r="F48" s="86">
        <v>250</v>
      </c>
      <c r="G48" s="84">
        <f>CEILING(J48*K48,Настройки!$D$1)</f>
        <v>32.4</v>
      </c>
      <c r="H48" s="84">
        <f>CEILING(G48*Резка!$B$4,10)</f>
        <v>3240</v>
      </c>
      <c r="J48" s="73">
        <f t="shared" si="5"/>
        <v>20.239999999999998</v>
      </c>
      <c r="K48" s="84">
        <f>Настройки!$K$6</f>
        <v>1.6</v>
      </c>
      <c r="L48" s="73">
        <v>1</v>
      </c>
      <c r="M48" s="73">
        <v>1</v>
      </c>
      <c r="N48" s="73">
        <f t="shared" si="7"/>
        <v>1</v>
      </c>
      <c r="O48" s="73">
        <f t="shared" si="8"/>
        <v>1</v>
      </c>
      <c r="P48" s="73">
        <v>0</v>
      </c>
      <c r="Q48" s="73" t="s">
        <v>457</v>
      </c>
      <c r="S48" s="73">
        <v>88</v>
      </c>
      <c r="T48" s="73" t="s">
        <v>630</v>
      </c>
      <c r="U48" s="73">
        <v>500</v>
      </c>
      <c r="V48" s="73">
        <v>1</v>
      </c>
    </row>
    <row r="49" spans="1:22" ht="24">
      <c r="A49" s="86">
        <v>10</v>
      </c>
      <c r="B49" s="85" t="s">
        <v>192</v>
      </c>
      <c r="C49" s="74" t="s">
        <v>190</v>
      </c>
      <c r="E49" s="74" t="s">
        <v>1262</v>
      </c>
      <c r="F49" s="86">
        <v>290</v>
      </c>
      <c r="G49" s="84">
        <f>CEILING(J49*K49,Настройки!$D$1)</f>
        <v>78.95</v>
      </c>
      <c r="H49" s="84">
        <f>CEILING(G49*Резка!$B$4,10)</f>
        <v>7900</v>
      </c>
      <c r="J49" s="73">
        <f t="shared" si="5"/>
        <v>49.333333333333336</v>
      </c>
      <c r="K49" s="84">
        <f>Настройки!$K$6</f>
        <v>1.6</v>
      </c>
      <c r="L49" s="73">
        <v>1</v>
      </c>
      <c r="M49" s="73">
        <v>0</v>
      </c>
      <c r="N49" s="73">
        <v>0</v>
      </c>
      <c r="O49" s="73">
        <v>0</v>
      </c>
      <c r="P49" s="73">
        <v>0</v>
      </c>
      <c r="Q49" s="73" t="s">
        <v>457</v>
      </c>
      <c r="S49" s="73">
        <v>444</v>
      </c>
      <c r="T49" s="73" t="s">
        <v>631</v>
      </c>
      <c r="U49" s="73">
        <v>9</v>
      </c>
      <c r="V49" s="73">
        <v>1</v>
      </c>
    </row>
    <row r="50" spans="1:22" ht="36.75">
      <c r="A50" s="84">
        <v>11</v>
      </c>
      <c r="B50" s="85" t="s">
        <v>185</v>
      </c>
      <c r="C50" s="87" t="s">
        <v>1248</v>
      </c>
      <c r="D50" s="85"/>
      <c r="E50" s="85" t="s">
        <v>215</v>
      </c>
      <c r="F50" s="84">
        <v>170</v>
      </c>
      <c r="G50" s="84">
        <f>CEILING(J50*K50,Настройки!$D$1)</f>
        <v>8.65</v>
      </c>
      <c r="H50" s="84">
        <f>CEILING(G50*Резка!$B$4,10)</f>
        <v>870</v>
      </c>
      <c r="J50" s="73">
        <f t="shared" ref="J50:J56" si="9">IF(T50=$S$28,S50*$T$28/U50,IF(T50=$S$29,S50*$T$29/U50,S50/U50))</f>
        <v>5.4</v>
      </c>
      <c r="K50" s="84">
        <f>Настройки!$K$6</f>
        <v>1.6</v>
      </c>
      <c r="L50" s="73">
        <v>1</v>
      </c>
      <c r="M50" s="73">
        <v>1</v>
      </c>
      <c r="N50" s="73">
        <f t="shared" ref="N50:N56" si="10">M50</f>
        <v>1</v>
      </c>
      <c r="O50" s="73">
        <f t="shared" ref="O50:O56" si="11">M50</f>
        <v>1</v>
      </c>
      <c r="P50" s="73">
        <v>0</v>
      </c>
      <c r="Q50" s="73" t="s">
        <v>457</v>
      </c>
      <c r="S50" s="73">
        <v>2700</v>
      </c>
      <c r="T50" s="73" t="s">
        <v>631</v>
      </c>
      <c r="U50" s="73">
        <v>500</v>
      </c>
      <c r="V50" s="73">
        <v>1</v>
      </c>
    </row>
    <row r="51" spans="1:22" ht="36">
      <c r="A51" s="86">
        <v>12</v>
      </c>
      <c r="B51" s="74" t="s">
        <v>185</v>
      </c>
      <c r="C51" s="74" t="s">
        <v>1249</v>
      </c>
      <c r="D51" s="74"/>
      <c r="E51" s="74" t="s">
        <v>215</v>
      </c>
      <c r="F51" s="86">
        <v>200</v>
      </c>
      <c r="G51" s="86">
        <f>CEILING(J51*K51,Настройки!$D$1)</f>
        <v>8.65</v>
      </c>
      <c r="H51" s="86">
        <f>CEILING(G51*Резка!$B$4,10)</f>
        <v>870</v>
      </c>
      <c r="J51" s="73">
        <f t="shared" si="9"/>
        <v>5.4</v>
      </c>
      <c r="K51" s="86">
        <f>Настройки!$K$6</f>
        <v>1.6</v>
      </c>
      <c r="L51" s="73">
        <v>1</v>
      </c>
      <c r="M51" s="73">
        <v>1</v>
      </c>
      <c r="N51" s="73">
        <f t="shared" si="10"/>
        <v>1</v>
      </c>
      <c r="O51" s="73">
        <f t="shared" si="11"/>
        <v>1</v>
      </c>
      <c r="P51" s="73">
        <v>0</v>
      </c>
      <c r="Q51" s="73" t="s">
        <v>457</v>
      </c>
      <c r="S51" s="73">
        <v>2700</v>
      </c>
      <c r="T51" s="73" t="s">
        <v>631</v>
      </c>
      <c r="U51" s="73">
        <v>500</v>
      </c>
      <c r="V51" s="73">
        <v>1</v>
      </c>
    </row>
    <row r="52" spans="1:22" s="278" customFormat="1" ht="24">
      <c r="A52" s="84">
        <v>14</v>
      </c>
      <c r="B52" s="74" t="s">
        <v>210</v>
      </c>
      <c r="C52" s="74" t="s">
        <v>190</v>
      </c>
      <c r="D52" s="74"/>
      <c r="E52" s="74" t="s">
        <v>1263</v>
      </c>
      <c r="F52" s="86">
        <v>250</v>
      </c>
      <c r="G52" s="84">
        <f>CEILING(J52*K52,Настройки!$D$1)</f>
        <v>61.35</v>
      </c>
      <c r="H52" s="84">
        <f>CEILING(G52*Резка!$B$4,10)</f>
        <v>6140</v>
      </c>
      <c r="I52" s="73"/>
      <c r="J52" s="73">
        <f t="shared" si="9"/>
        <v>38.333333333333336</v>
      </c>
      <c r="K52" s="84">
        <f>Настройки!$K$6</f>
        <v>1.6</v>
      </c>
      <c r="L52" s="73">
        <v>1</v>
      </c>
      <c r="M52" s="73">
        <v>0</v>
      </c>
      <c r="N52" s="73">
        <f t="shared" si="10"/>
        <v>0</v>
      </c>
      <c r="O52" s="73">
        <f t="shared" si="11"/>
        <v>0</v>
      </c>
      <c r="P52" s="73">
        <v>0</v>
      </c>
      <c r="Q52" s="73" t="s">
        <v>457</v>
      </c>
      <c r="R52" s="73"/>
      <c r="S52" s="73">
        <v>3</v>
      </c>
      <c r="T52" s="73" t="s">
        <v>630</v>
      </c>
      <c r="U52" s="73">
        <v>9</v>
      </c>
      <c r="V52" s="73">
        <v>1</v>
      </c>
    </row>
    <row r="53" spans="1:22" s="278" customFormat="1">
      <c r="A53" s="84">
        <v>15</v>
      </c>
      <c r="B53" s="74" t="s">
        <v>206</v>
      </c>
      <c r="C53" s="74" t="s">
        <v>207</v>
      </c>
      <c r="D53" s="74"/>
      <c r="E53" s="74" t="s">
        <v>1264</v>
      </c>
      <c r="F53" s="86">
        <v>301</v>
      </c>
      <c r="G53" s="84">
        <f>CEILING(J53*K53,Настройки!$D$1)</f>
        <v>95.800000000000011</v>
      </c>
      <c r="H53" s="84">
        <f>CEILING(G53*Резка!$B$4,10)</f>
        <v>9580</v>
      </c>
      <c r="I53" s="73"/>
      <c r="J53" s="73">
        <f t="shared" si="9"/>
        <v>59.857777777777784</v>
      </c>
      <c r="K53" s="84">
        <f>Настройки!$K$6</f>
        <v>1.6</v>
      </c>
      <c r="L53" s="73">
        <v>1</v>
      </c>
      <c r="M53" s="73">
        <v>0</v>
      </c>
      <c r="N53" s="73">
        <f t="shared" si="10"/>
        <v>0</v>
      </c>
      <c r="O53" s="73">
        <f t="shared" si="11"/>
        <v>0</v>
      </c>
      <c r="P53" s="73">
        <v>0</v>
      </c>
      <c r="Q53" s="73" t="s">
        <v>457</v>
      </c>
      <c r="R53" s="73"/>
      <c r="S53" s="73">
        <v>5.18</v>
      </c>
      <c r="T53" s="73" t="s">
        <v>632</v>
      </c>
      <c r="U53" s="73">
        <v>9</v>
      </c>
      <c r="V53" s="73">
        <v>1</v>
      </c>
    </row>
    <row r="54" spans="1:22" s="278" customFormat="1">
      <c r="A54" s="84">
        <v>16</v>
      </c>
      <c r="B54" s="74" t="s">
        <v>1339</v>
      </c>
      <c r="C54" s="74" t="s">
        <v>207</v>
      </c>
      <c r="D54" s="74"/>
      <c r="E54" s="74" t="s">
        <v>1264</v>
      </c>
      <c r="F54" s="86">
        <v>270</v>
      </c>
      <c r="G54" s="84">
        <f>CEILING(J54*K54,Настройки!$D$1)</f>
        <v>67.5</v>
      </c>
      <c r="H54" s="84">
        <f>CEILING(G54*Резка!$B$4,10)</f>
        <v>6750</v>
      </c>
      <c r="I54" s="73"/>
      <c r="J54" s="73">
        <f t="shared" si="9"/>
        <v>42.166666666666664</v>
      </c>
      <c r="K54" s="84">
        <f>Настройки!$K$6</f>
        <v>1.6</v>
      </c>
      <c r="L54" s="73">
        <v>1</v>
      </c>
      <c r="M54" s="73">
        <v>0</v>
      </c>
      <c r="N54" s="73">
        <f t="shared" si="10"/>
        <v>0</v>
      </c>
      <c r="O54" s="73">
        <f t="shared" si="11"/>
        <v>0</v>
      </c>
      <c r="P54" s="73">
        <v>0</v>
      </c>
      <c r="Q54" s="73" t="s">
        <v>457</v>
      </c>
      <c r="R54" s="73"/>
      <c r="S54" s="73">
        <v>3.3</v>
      </c>
      <c r="T54" s="73" t="s">
        <v>630</v>
      </c>
      <c r="U54" s="73">
        <v>9</v>
      </c>
      <c r="V54" s="73">
        <v>1</v>
      </c>
    </row>
    <row r="55" spans="1:22" s="278" customFormat="1" ht="36">
      <c r="A55" s="84">
        <v>17</v>
      </c>
      <c r="B55" s="74" t="s">
        <v>1340</v>
      </c>
      <c r="C55" s="74" t="s">
        <v>1342</v>
      </c>
      <c r="D55" s="74"/>
      <c r="E55" s="74" t="s">
        <v>1341</v>
      </c>
      <c r="F55" s="86">
        <v>300</v>
      </c>
      <c r="G55" s="84">
        <f>CEILING(J55*K55,Настройки!$D$1)</f>
        <v>45</v>
      </c>
      <c r="H55" s="84">
        <f>CEILING(G55*Резка!$B$4,10)</f>
        <v>4500</v>
      </c>
      <c r="I55" s="73"/>
      <c r="J55" s="73">
        <f t="shared" si="9"/>
        <v>28.111111111111114</v>
      </c>
      <c r="K55" s="84">
        <f>Настройки!$K$6</f>
        <v>1.6</v>
      </c>
      <c r="L55" s="73">
        <v>1</v>
      </c>
      <c r="M55" s="73">
        <v>0</v>
      </c>
      <c r="N55" s="73">
        <f t="shared" si="10"/>
        <v>0</v>
      </c>
      <c r="O55" s="73">
        <f t="shared" si="11"/>
        <v>0</v>
      </c>
      <c r="P55" s="73">
        <v>0</v>
      </c>
      <c r="Q55" s="73" t="s">
        <v>457</v>
      </c>
      <c r="R55" s="73"/>
      <c r="S55" s="73">
        <v>2.2000000000000002</v>
      </c>
      <c r="T55" s="73" t="s">
        <v>630</v>
      </c>
      <c r="U55" s="73">
        <v>9</v>
      </c>
      <c r="V55" s="73">
        <v>1</v>
      </c>
    </row>
    <row r="56" spans="1:22" s="278" customFormat="1">
      <c r="A56" s="84">
        <v>18</v>
      </c>
      <c r="B56" s="74" t="s">
        <v>1343</v>
      </c>
      <c r="C56" s="74" t="s">
        <v>1344</v>
      </c>
      <c r="D56" s="74"/>
      <c r="E56" s="74" t="s">
        <v>272</v>
      </c>
      <c r="F56" s="86">
        <v>300</v>
      </c>
      <c r="G56" s="84">
        <f>CEILING(J56*K56,Настройки!$D$1)</f>
        <v>67.5</v>
      </c>
      <c r="H56" s="84">
        <f>CEILING(G56*Резка!$B$4,10)</f>
        <v>6750</v>
      </c>
      <c r="I56" s="73"/>
      <c r="J56" s="73">
        <f t="shared" si="9"/>
        <v>42.166666666666664</v>
      </c>
      <c r="K56" s="84">
        <f>Настройки!$K$6</f>
        <v>1.6</v>
      </c>
      <c r="L56" s="73">
        <v>1</v>
      </c>
      <c r="M56" s="73">
        <v>0</v>
      </c>
      <c r="N56" s="73">
        <f t="shared" si="10"/>
        <v>0</v>
      </c>
      <c r="O56" s="73">
        <f t="shared" si="11"/>
        <v>0</v>
      </c>
      <c r="P56" s="73">
        <v>0</v>
      </c>
      <c r="Q56" s="73" t="s">
        <v>457</v>
      </c>
      <c r="R56" s="73"/>
      <c r="S56" s="73">
        <v>3.3</v>
      </c>
      <c r="T56" s="73" t="s">
        <v>630</v>
      </c>
      <c r="U56" s="73">
        <v>9</v>
      </c>
      <c r="V56" s="73">
        <v>1</v>
      </c>
    </row>
    <row r="57" spans="1:22" ht="24">
      <c r="A57" s="86">
        <v>19</v>
      </c>
      <c r="B57" s="74" t="s">
        <v>1345</v>
      </c>
      <c r="C57" s="74" t="s">
        <v>1342</v>
      </c>
      <c r="D57" s="74"/>
      <c r="E57" s="74" t="s">
        <v>272</v>
      </c>
      <c r="F57" s="86">
        <v>270</v>
      </c>
      <c r="G57" s="84">
        <f>CEILING(J57*K57,Настройки!$D$1)</f>
        <v>67.5</v>
      </c>
      <c r="H57" s="84">
        <f>CEILING(G57*Резка!$B$4,10)</f>
        <v>6750</v>
      </c>
      <c r="J57" s="73">
        <f t="shared" ref="J57:J122" si="12">IF(T57=$S$28,S57*$T$28/U57,IF(T57=$S$29,S57*$T$29/U57,S57/U57))</f>
        <v>42.166666666666664</v>
      </c>
      <c r="K57" s="84">
        <f>Настройки!$K$6</f>
        <v>1.6</v>
      </c>
      <c r="L57" s="73">
        <v>1</v>
      </c>
      <c r="M57" s="73">
        <v>0</v>
      </c>
      <c r="N57" s="73">
        <f t="shared" si="7"/>
        <v>0</v>
      </c>
      <c r="O57" s="73">
        <f t="shared" si="8"/>
        <v>0</v>
      </c>
      <c r="P57" s="73">
        <v>0</v>
      </c>
      <c r="Q57" s="73" t="s">
        <v>457</v>
      </c>
      <c r="S57" s="73">
        <v>3.3</v>
      </c>
      <c r="T57" s="73" t="s">
        <v>630</v>
      </c>
      <c r="U57" s="73">
        <v>9</v>
      </c>
      <c r="V57" s="73">
        <v>1</v>
      </c>
    </row>
    <row r="58" spans="1:22" ht="24">
      <c r="A58" s="86">
        <v>20</v>
      </c>
      <c r="B58" s="74" t="s">
        <v>1340</v>
      </c>
      <c r="C58" s="74" t="s">
        <v>1342</v>
      </c>
      <c r="D58" s="74"/>
      <c r="E58" s="74" t="s">
        <v>1346</v>
      </c>
      <c r="F58" s="86">
        <v>300</v>
      </c>
      <c r="G58" s="84">
        <f>CEILING(J58*K58,Настройки!$D$1)</f>
        <v>45</v>
      </c>
      <c r="H58" s="84">
        <f>CEILING(G58*Резка!$B$4,10)</f>
        <v>4500</v>
      </c>
      <c r="J58" s="73">
        <f t="shared" si="12"/>
        <v>28.111111111111114</v>
      </c>
      <c r="K58" s="84">
        <f>Настройки!$K$6</f>
        <v>1.6</v>
      </c>
      <c r="L58" s="73">
        <v>1</v>
      </c>
      <c r="M58" s="73">
        <v>0</v>
      </c>
      <c r="N58" s="73">
        <f t="shared" si="7"/>
        <v>0</v>
      </c>
      <c r="O58" s="73">
        <f t="shared" si="8"/>
        <v>0</v>
      </c>
      <c r="P58" s="73">
        <v>0</v>
      </c>
      <c r="Q58" s="73" t="s">
        <v>457</v>
      </c>
      <c r="S58" s="73">
        <v>2.2000000000000002</v>
      </c>
      <c r="T58" s="73" t="s">
        <v>630</v>
      </c>
      <c r="U58" s="73">
        <v>9</v>
      </c>
      <c r="V58" s="73">
        <v>1</v>
      </c>
    </row>
    <row r="59" spans="1:22" ht="24">
      <c r="A59" s="86">
        <v>21</v>
      </c>
      <c r="B59" s="85" t="s">
        <v>1383</v>
      </c>
      <c r="C59" s="74" t="s">
        <v>190</v>
      </c>
      <c r="D59" s="74"/>
      <c r="E59" s="74" t="s">
        <v>1384</v>
      </c>
      <c r="F59" s="86">
        <v>300</v>
      </c>
      <c r="G59" s="84">
        <f>CEILING(J59*K59,Настройки!$D$1)</f>
        <v>16.95</v>
      </c>
      <c r="H59" s="84">
        <f>CEILING(G59*Резка!$B$4,10)</f>
        <v>1700</v>
      </c>
      <c r="J59" s="73">
        <f t="shared" si="12"/>
        <v>10.574999999999999</v>
      </c>
      <c r="K59" s="84">
        <f>Настройки!$K$6</f>
        <v>1.6</v>
      </c>
      <c r="L59" s="73">
        <v>1</v>
      </c>
      <c r="M59" s="73">
        <v>0</v>
      </c>
      <c r="N59" s="73">
        <f t="shared" si="7"/>
        <v>0</v>
      </c>
      <c r="O59" s="73">
        <f t="shared" si="8"/>
        <v>0</v>
      </c>
      <c r="P59" s="73">
        <v>0</v>
      </c>
      <c r="Q59" s="73" t="s">
        <v>457</v>
      </c>
      <c r="S59" s="73">
        <v>2115</v>
      </c>
      <c r="T59" s="73" t="s">
        <v>631</v>
      </c>
      <c r="U59" s="73">
        <v>200</v>
      </c>
      <c r="V59" s="73">
        <v>1</v>
      </c>
    </row>
    <row r="60" spans="1:22" ht="24">
      <c r="A60" s="86">
        <v>22</v>
      </c>
      <c r="B60" s="74" t="s">
        <v>1380</v>
      </c>
      <c r="C60" s="74" t="s">
        <v>1226</v>
      </c>
      <c r="D60" s="74"/>
      <c r="E60" s="74" t="s">
        <v>1381</v>
      </c>
      <c r="F60" s="86">
        <v>250</v>
      </c>
      <c r="G60" s="84">
        <f>CEILING(J60*K60,Настройки!$D$1)</f>
        <v>32</v>
      </c>
      <c r="H60" s="84">
        <f>CEILING(G60*Резка!$B$4,10)</f>
        <v>3200</v>
      </c>
      <c r="J60" s="73">
        <f t="shared" si="12"/>
        <v>20</v>
      </c>
      <c r="K60" s="84">
        <f>Настройки!$K$6</f>
        <v>1.6</v>
      </c>
      <c r="L60" s="73">
        <v>1</v>
      </c>
      <c r="M60" s="73">
        <v>0</v>
      </c>
      <c r="N60" s="73">
        <f t="shared" si="7"/>
        <v>0</v>
      </c>
      <c r="O60" s="73">
        <f t="shared" si="8"/>
        <v>0</v>
      </c>
      <c r="P60" s="73">
        <v>0</v>
      </c>
      <c r="Q60" s="73" t="s">
        <v>457</v>
      </c>
      <c r="S60" s="73">
        <v>160</v>
      </c>
      <c r="T60" s="73" t="s">
        <v>631</v>
      </c>
      <c r="U60" s="73">
        <v>8</v>
      </c>
      <c r="V60" s="73">
        <v>1</v>
      </c>
    </row>
    <row r="61" spans="1:22" ht="24">
      <c r="A61" s="86">
        <v>23</v>
      </c>
      <c r="B61" s="85" t="s">
        <v>1382</v>
      </c>
      <c r="C61" s="74" t="s">
        <v>1226</v>
      </c>
      <c r="D61" s="74"/>
      <c r="E61" s="74" t="s">
        <v>263</v>
      </c>
      <c r="F61" s="86">
        <v>250</v>
      </c>
      <c r="G61" s="84">
        <f>CEILING(J61*K61,Настройки!$D$1)</f>
        <v>28</v>
      </c>
      <c r="H61" s="84">
        <f>CEILING(G61*Резка!$B$4,10)</f>
        <v>2800</v>
      </c>
      <c r="J61" s="73">
        <f t="shared" si="12"/>
        <v>17.5</v>
      </c>
      <c r="K61" s="84">
        <f>Настройки!$K$6</f>
        <v>1.6</v>
      </c>
      <c r="L61" s="73">
        <v>1</v>
      </c>
      <c r="M61" s="73">
        <v>0</v>
      </c>
      <c r="N61" s="73">
        <f t="shared" si="7"/>
        <v>0</v>
      </c>
      <c r="O61" s="73">
        <f t="shared" si="8"/>
        <v>0</v>
      </c>
      <c r="P61" s="73">
        <v>0</v>
      </c>
      <c r="Q61" s="73" t="s">
        <v>457</v>
      </c>
      <c r="S61" s="73">
        <v>140</v>
      </c>
      <c r="T61" s="73" t="s">
        <v>631</v>
      </c>
      <c r="U61" s="73">
        <v>8</v>
      </c>
      <c r="V61" s="73">
        <v>1</v>
      </c>
    </row>
    <row r="62" spans="1:22" ht="25.5" customHeight="1">
      <c r="A62" s="86">
        <v>24</v>
      </c>
      <c r="B62" s="85" t="s">
        <v>185</v>
      </c>
      <c r="C62" s="85" t="s">
        <v>186</v>
      </c>
      <c r="D62" s="85"/>
      <c r="E62" s="85" t="s">
        <v>313</v>
      </c>
      <c r="F62" s="84">
        <v>250</v>
      </c>
      <c r="G62" s="84">
        <f>CEILING(J62*K62,Настройки!$D$1)</f>
        <v>20.85</v>
      </c>
      <c r="H62" s="84">
        <f>CEILING(G62*Резка!$B$4,10)</f>
        <v>2090</v>
      </c>
      <c r="J62" s="73">
        <f t="shared" si="12"/>
        <v>13.004</v>
      </c>
      <c r="K62" s="84">
        <f>Настройки!$K$6</f>
        <v>1.6</v>
      </c>
      <c r="L62" s="73">
        <v>1</v>
      </c>
      <c r="M62" s="73">
        <v>1</v>
      </c>
      <c r="N62" s="73">
        <f>M62</f>
        <v>1</v>
      </c>
      <c r="O62" s="73">
        <f>M62</f>
        <v>1</v>
      </c>
      <c r="P62" s="73">
        <v>0</v>
      </c>
      <c r="Q62" s="73" t="s">
        <v>457</v>
      </c>
      <c r="S62" s="73">
        <v>3251</v>
      </c>
      <c r="T62" s="73" t="s">
        <v>631</v>
      </c>
      <c r="U62" s="73">
        <v>250</v>
      </c>
      <c r="V62" s="73">
        <v>1</v>
      </c>
    </row>
    <row r="63" spans="1:22" ht="24">
      <c r="A63" s="86">
        <v>25</v>
      </c>
      <c r="B63" s="74" t="s">
        <v>1388</v>
      </c>
      <c r="C63" s="74" t="s">
        <v>1389</v>
      </c>
      <c r="D63" s="74"/>
      <c r="E63" s="74" t="s">
        <v>272</v>
      </c>
      <c r="F63" s="86">
        <v>190</v>
      </c>
      <c r="G63" s="84">
        <f>CEILING(J63*K63,Настройки!$D$1)</f>
        <v>5.15</v>
      </c>
      <c r="H63" s="84">
        <f>CEILING(G63*Резка!$B$4,10)</f>
        <v>520</v>
      </c>
      <c r="J63" s="73">
        <f t="shared" ref="J63" si="13">IF(T63=$S$28,S63*$T$28/U63,IF(T63=$S$29,S63*$T$29/U63,S63/U63))</f>
        <v>3.2</v>
      </c>
      <c r="K63" s="84">
        <f>Настройки!$K$6</f>
        <v>1.6</v>
      </c>
      <c r="L63" s="73">
        <v>1</v>
      </c>
      <c r="M63" s="73">
        <v>0</v>
      </c>
      <c r="N63" s="73">
        <f t="shared" ref="N63" si="14">M63</f>
        <v>0</v>
      </c>
      <c r="O63" s="73">
        <f t="shared" ref="O63" si="15">M63</f>
        <v>0</v>
      </c>
      <c r="P63" s="73">
        <v>1</v>
      </c>
      <c r="Q63" s="73" t="s">
        <v>457</v>
      </c>
      <c r="S63" s="73">
        <v>640</v>
      </c>
      <c r="T63" s="73" t="s">
        <v>631</v>
      </c>
      <c r="U63" s="73">
        <v>200</v>
      </c>
      <c r="V63" s="73">
        <v>1</v>
      </c>
    </row>
    <row r="64" spans="1:22">
      <c r="A64" s="86">
        <v>27</v>
      </c>
      <c r="B64" s="85" t="s">
        <v>200</v>
      </c>
      <c r="C64" s="74" t="s">
        <v>201</v>
      </c>
      <c r="D64" s="74"/>
      <c r="E64" s="74" t="s">
        <v>204</v>
      </c>
      <c r="F64" s="86">
        <v>300</v>
      </c>
      <c r="G64" s="84">
        <f>CEILING(J64*K64,Настройки!$D$1)</f>
        <v>40.1</v>
      </c>
      <c r="H64" s="84">
        <f>CEILING(G64*Резка!$B$4,10)</f>
        <v>4010</v>
      </c>
      <c r="J64" s="73">
        <f t="shared" si="12"/>
        <v>25.044444444444444</v>
      </c>
      <c r="K64" s="84">
        <f>Настройки!$K$6</f>
        <v>1.6</v>
      </c>
      <c r="L64" s="73">
        <v>1</v>
      </c>
      <c r="M64" s="73">
        <v>0</v>
      </c>
      <c r="N64" s="73">
        <f t="shared" si="7"/>
        <v>0</v>
      </c>
      <c r="O64" s="73">
        <f t="shared" si="8"/>
        <v>0</v>
      </c>
      <c r="P64" s="73">
        <v>0</v>
      </c>
      <c r="Q64" s="73" t="s">
        <v>457</v>
      </c>
      <c r="S64" s="73">
        <v>1.96</v>
      </c>
      <c r="T64" s="73" t="s">
        <v>630</v>
      </c>
      <c r="U64" s="73">
        <v>9</v>
      </c>
      <c r="V64" s="73">
        <v>1</v>
      </c>
    </row>
    <row r="65" spans="1:22" ht="24">
      <c r="A65" s="86">
        <v>28</v>
      </c>
      <c r="B65" s="74" t="s">
        <v>189</v>
      </c>
      <c r="C65" s="74" t="s">
        <v>190</v>
      </c>
      <c r="D65" s="74"/>
      <c r="E65" s="74" t="s">
        <v>199</v>
      </c>
      <c r="F65" s="86">
        <v>300</v>
      </c>
      <c r="G65" s="84">
        <f>CEILING(J65*K65,Настройки!$D$1)</f>
        <v>49.5</v>
      </c>
      <c r="H65" s="84">
        <f>CEILING(G65*Резка!$B$4,10)</f>
        <v>4950</v>
      </c>
      <c r="J65" s="73">
        <f t="shared" si="12"/>
        <v>30.922222222222224</v>
      </c>
      <c r="K65" s="84">
        <f>Настройки!$K$6</f>
        <v>1.6</v>
      </c>
      <c r="L65" s="73">
        <v>1</v>
      </c>
      <c r="M65" s="73">
        <v>0</v>
      </c>
      <c r="N65" s="73">
        <f t="shared" si="7"/>
        <v>0</v>
      </c>
      <c r="O65" s="73">
        <f t="shared" si="8"/>
        <v>0</v>
      </c>
      <c r="P65" s="73">
        <v>0</v>
      </c>
      <c r="Q65" s="73" t="s">
        <v>457</v>
      </c>
      <c r="S65" s="73">
        <v>2.42</v>
      </c>
      <c r="T65" s="73" t="s">
        <v>630</v>
      </c>
      <c r="U65" s="73">
        <v>9</v>
      </c>
      <c r="V65" s="73">
        <v>1</v>
      </c>
    </row>
    <row r="66" spans="1:22">
      <c r="A66" s="86">
        <v>29</v>
      </c>
      <c r="B66" s="74" t="s">
        <v>553</v>
      </c>
      <c r="C66" s="74" t="s">
        <v>190</v>
      </c>
      <c r="D66" s="74"/>
      <c r="E66" s="74" t="s">
        <v>205</v>
      </c>
      <c r="F66" s="86">
        <v>200</v>
      </c>
      <c r="G66" s="84">
        <f>CEILING(J66*K66,Настройки!$D$1)</f>
        <v>64.650000000000006</v>
      </c>
      <c r="H66" s="84">
        <f>CEILING(G66*Резка!$B$4,10)</f>
        <v>6470</v>
      </c>
      <c r="J66" s="73">
        <f t="shared" si="12"/>
        <v>40.37777777777778</v>
      </c>
      <c r="K66" s="84">
        <f>Настройки!$K$6</f>
        <v>1.6</v>
      </c>
      <c r="L66" s="73">
        <v>1</v>
      </c>
      <c r="M66" s="73">
        <v>0</v>
      </c>
      <c r="N66" s="73">
        <f t="shared" si="7"/>
        <v>0</v>
      </c>
      <c r="O66" s="73">
        <f t="shared" si="8"/>
        <v>0</v>
      </c>
      <c r="P66" s="73">
        <v>0</v>
      </c>
      <c r="Q66" s="73" t="s">
        <v>457</v>
      </c>
      <c r="S66" s="73">
        <v>3.16</v>
      </c>
      <c r="T66" s="73" t="s">
        <v>630</v>
      </c>
      <c r="U66" s="73">
        <v>9</v>
      </c>
      <c r="V66" s="73">
        <v>1</v>
      </c>
    </row>
    <row r="67" spans="1:22" ht="24">
      <c r="A67" s="86">
        <v>30</v>
      </c>
      <c r="B67" s="74" t="s">
        <v>206</v>
      </c>
      <c r="C67" s="74" t="s">
        <v>207</v>
      </c>
      <c r="D67" s="74"/>
      <c r="E67" s="74" t="s">
        <v>313</v>
      </c>
      <c r="F67" s="86">
        <v>301</v>
      </c>
      <c r="G67" s="84">
        <f>CEILING(J67*K67,Настройки!$D$1)</f>
        <v>95.800000000000011</v>
      </c>
      <c r="H67" s="84">
        <f>CEILING(G67*Резка!$B$4,10)</f>
        <v>9580</v>
      </c>
      <c r="J67" s="73">
        <f t="shared" si="12"/>
        <v>59.857777777777784</v>
      </c>
      <c r="K67" s="84">
        <f>Настройки!$K$6</f>
        <v>1.6</v>
      </c>
      <c r="L67" s="73">
        <v>1</v>
      </c>
      <c r="M67" s="73">
        <v>0</v>
      </c>
      <c r="N67" s="73">
        <f t="shared" si="7"/>
        <v>0</v>
      </c>
      <c r="O67" s="73">
        <f t="shared" si="8"/>
        <v>0</v>
      </c>
      <c r="P67" s="73">
        <v>0</v>
      </c>
      <c r="Q67" s="73" t="s">
        <v>457</v>
      </c>
      <c r="S67" s="73">
        <v>5.18</v>
      </c>
      <c r="T67" s="73" t="s">
        <v>632</v>
      </c>
      <c r="U67" s="73">
        <v>9</v>
      </c>
      <c r="V67" s="73">
        <v>1</v>
      </c>
    </row>
    <row r="68" spans="1:22">
      <c r="A68" s="86">
        <v>32</v>
      </c>
      <c r="B68" s="85" t="s">
        <v>208</v>
      </c>
      <c r="C68" s="74" t="s">
        <v>197</v>
      </c>
      <c r="D68" s="74"/>
      <c r="E68" s="74" t="s">
        <v>191</v>
      </c>
      <c r="F68" s="86">
        <v>250</v>
      </c>
      <c r="G68" s="84">
        <f>CEILING(J68*K68,Настройки!$D$1)</f>
        <v>22.5</v>
      </c>
      <c r="H68" s="84">
        <f>CEILING(G68*Резка!$B$4,10)</f>
        <v>2250</v>
      </c>
      <c r="J68" s="73">
        <f t="shared" si="12"/>
        <v>14.055555555555557</v>
      </c>
      <c r="K68" s="84">
        <f>Настройки!$K$6</f>
        <v>1.6</v>
      </c>
      <c r="L68" s="73">
        <v>1</v>
      </c>
      <c r="M68" s="73">
        <v>0</v>
      </c>
      <c r="N68" s="73">
        <f t="shared" si="7"/>
        <v>0</v>
      </c>
      <c r="O68" s="73">
        <f t="shared" si="8"/>
        <v>0</v>
      </c>
      <c r="P68" s="73">
        <v>0</v>
      </c>
      <c r="Q68" s="73" t="s">
        <v>457</v>
      </c>
      <c r="S68" s="73">
        <v>1.1000000000000001</v>
      </c>
      <c r="T68" s="73" t="s">
        <v>630</v>
      </c>
      <c r="U68" s="73">
        <v>9</v>
      </c>
      <c r="V68" s="73">
        <v>1</v>
      </c>
    </row>
    <row r="69" spans="1:22" ht="24">
      <c r="A69" s="86">
        <v>34</v>
      </c>
      <c r="B69" s="74" t="s">
        <v>554</v>
      </c>
      <c r="C69" s="74" t="s">
        <v>207</v>
      </c>
      <c r="D69" s="74"/>
      <c r="E69" s="74" t="s">
        <v>209</v>
      </c>
      <c r="F69" s="86">
        <v>301</v>
      </c>
      <c r="G69" s="84">
        <f>CEILING(J69*K69,Настройки!$D$1)</f>
        <v>95.800000000000011</v>
      </c>
      <c r="H69" s="84">
        <f>CEILING(G69*Резка!$B$4,10)</f>
        <v>9580</v>
      </c>
      <c r="J69" s="73">
        <f t="shared" si="12"/>
        <v>59.857777777777784</v>
      </c>
      <c r="K69" s="84">
        <f>Настройки!$K$6</f>
        <v>1.6</v>
      </c>
      <c r="L69" s="73">
        <v>1</v>
      </c>
      <c r="M69" s="73">
        <v>0</v>
      </c>
      <c r="N69" s="73">
        <f t="shared" si="7"/>
        <v>0</v>
      </c>
      <c r="O69" s="73">
        <f t="shared" si="8"/>
        <v>0</v>
      </c>
      <c r="P69" s="73">
        <v>0</v>
      </c>
      <c r="Q69" s="73" t="s">
        <v>457</v>
      </c>
      <c r="S69" s="73">
        <v>5.18</v>
      </c>
      <c r="T69" s="73" t="s">
        <v>632</v>
      </c>
      <c r="U69" s="73">
        <v>9</v>
      </c>
      <c r="V69" s="73">
        <v>1</v>
      </c>
    </row>
    <row r="70" spans="1:22" ht="24">
      <c r="A70" s="86">
        <v>35</v>
      </c>
      <c r="B70" s="74" t="s">
        <v>210</v>
      </c>
      <c r="C70" s="74" t="s">
        <v>190</v>
      </c>
      <c r="D70" s="74"/>
      <c r="E70" s="74" t="s">
        <v>211</v>
      </c>
      <c r="F70" s="86">
        <v>290</v>
      </c>
      <c r="G70" s="84">
        <f>CEILING(J70*K70,Настройки!$D$1)</f>
        <v>52.75</v>
      </c>
      <c r="H70" s="84">
        <f>CEILING(G70*Резка!$B$4,10)</f>
        <v>5280</v>
      </c>
      <c r="J70" s="73">
        <f t="shared" si="12"/>
        <v>32.966666666666669</v>
      </c>
      <c r="K70" s="84">
        <f>Настройки!$K$6</f>
        <v>1.6</v>
      </c>
      <c r="L70" s="73">
        <v>1</v>
      </c>
      <c r="M70" s="73">
        <v>0</v>
      </c>
      <c r="N70" s="73">
        <f t="shared" si="7"/>
        <v>0</v>
      </c>
      <c r="O70" s="73">
        <f t="shared" si="8"/>
        <v>0</v>
      </c>
      <c r="P70" s="73">
        <v>0</v>
      </c>
      <c r="Q70" s="73" t="s">
        <v>457</v>
      </c>
      <c r="S70" s="73">
        <v>2.58</v>
      </c>
      <c r="T70" s="73" t="s">
        <v>630</v>
      </c>
      <c r="U70" s="73">
        <v>9</v>
      </c>
      <c r="V70" s="73">
        <v>1</v>
      </c>
    </row>
    <row r="71" spans="1:22" ht="24">
      <c r="A71" s="86">
        <v>36</v>
      </c>
      <c r="B71" s="74" t="s">
        <v>210</v>
      </c>
      <c r="C71" s="74" t="s">
        <v>1336</v>
      </c>
      <c r="D71" s="74"/>
      <c r="E71" s="74" t="s">
        <v>260</v>
      </c>
      <c r="F71" s="86">
        <v>250</v>
      </c>
      <c r="G71" s="84">
        <f>CEILING(J71*K71,Настройки!$D$1)</f>
        <v>78.95</v>
      </c>
      <c r="H71" s="84">
        <f>CEILING(G71*Резка!$B$4,10)</f>
        <v>7900</v>
      </c>
      <c r="J71" s="73">
        <f>IF(T71=$S$28,S71*$T$28/U71,IF(T71=$S$29,S71*$T$29/U71,S71/U71))</f>
        <v>49.333333333333336</v>
      </c>
      <c r="K71" s="84">
        <f>Настройки!$K$6</f>
        <v>1.6</v>
      </c>
      <c r="L71" s="73">
        <v>1</v>
      </c>
      <c r="M71" s="73">
        <v>0</v>
      </c>
      <c r="N71" s="73">
        <f>M71</f>
        <v>0</v>
      </c>
      <c r="O71" s="73">
        <f>M71</f>
        <v>0</v>
      </c>
      <c r="P71" s="73">
        <v>1</v>
      </c>
      <c r="Q71" s="73" t="s">
        <v>457</v>
      </c>
      <c r="S71" s="73">
        <v>444</v>
      </c>
      <c r="T71" s="73" t="s">
        <v>631</v>
      </c>
      <c r="U71" s="73">
        <v>9</v>
      </c>
      <c r="V71" s="73">
        <v>1</v>
      </c>
    </row>
    <row r="72" spans="1:22">
      <c r="A72" s="86">
        <v>40</v>
      </c>
      <c r="B72" s="85" t="s">
        <v>212</v>
      </c>
      <c r="C72" s="74" t="s">
        <v>201</v>
      </c>
      <c r="D72" s="74"/>
      <c r="E72" s="74" t="s">
        <v>213</v>
      </c>
      <c r="F72" s="86">
        <v>300</v>
      </c>
      <c r="G72" s="84">
        <f>CEILING(J72*K72,Настройки!$D$1)</f>
        <v>40.1</v>
      </c>
      <c r="H72" s="84">
        <f>CEILING(G72*Резка!$B$4,10)</f>
        <v>4010</v>
      </c>
      <c r="J72" s="73">
        <f t="shared" si="12"/>
        <v>25.044444444444444</v>
      </c>
      <c r="K72" s="84">
        <f>Настройки!$K$6</f>
        <v>1.6</v>
      </c>
      <c r="L72" s="73">
        <v>1</v>
      </c>
      <c r="M72" s="73">
        <v>0</v>
      </c>
      <c r="N72" s="73">
        <f t="shared" si="7"/>
        <v>0</v>
      </c>
      <c r="O72" s="73">
        <f t="shared" si="8"/>
        <v>0</v>
      </c>
      <c r="P72" s="73">
        <v>0</v>
      </c>
      <c r="Q72" s="73" t="s">
        <v>457</v>
      </c>
      <c r="S72" s="73">
        <v>1.96</v>
      </c>
      <c r="T72" s="73" t="s">
        <v>630</v>
      </c>
      <c r="U72" s="73">
        <v>9</v>
      </c>
      <c r="V72" s="73">
        <v>1</v>
      </c>
    </row>
    <row r="73" spans="1:22" ht="24">
      <c r="A73" s="86">
        <v>41</v>
      </c>
      <c r="B73" s="74" t="s">
        <v>214</v>
      </c>
      <c r="C73" s="74" t="s">
        <v>188</v>
      </c>
      <c r="D73" s="74"/>
      <c r="E73" s="74" t="s">
        <v>215</v>
      </c>
      <c r="F73" s="86">
        <v>300</v>
      </c>
      <c r="G73" s="84">
        <f>CEILING(J73*K73,Настройки!$D$1)</f>
        <v>46.25</v>
      </c>
      <c r="H73" s="84">
        <f>CEILING(G73*Резка!$B$4,10)</f>
        <v>4630</v>
      </c>
      <c r="J73" s="73">
        <f t="shared" si="12"/>
        <v>28.888888888888889</v>
      </c>
      <c r="K73" s="84">
        <f>Настройки!$K$6</f>
        <v>1.6</v>
      </c>
      <c r="L73" s="73">
        <v>1</v>
      </c>
      <c r="M73" s="73">
        <v>0</v>
      </c>
      <c r="N73" s="73">
        <f t="shared" si="7"/>
        <v>0</v>
      </c>
      <c r="O73" s="73">
        <f t="shared" si="8"/>
        <v>0</v>
      </c>
      <c r="P73" s="73">
        <v>0</v>
      </c>
      <c r="Q73" s="73" t="s">
        <v>457</v>
      </c>
      <c r="S73" s="73">
        <v>2.5</v>
      </c>
      <c r="T73" s="73" t="s">
        <v>632</v>
      </c>
      <c r="U73" s="73">
        <v>9</v>
      </c>
      <c r="V73" s="73">
        <v>1</v>
      </c>
    </row>
    <row r="74" spans="1:22" ht="24">
      <c r="A74" s="86">
        <v>42</v>
      </c>
      <c r="B74" s="85" t="s">
        <v>214</v>
      </c>
      <c r="C74" s="74" t="s">
        <v>188</v>
      </c>
      <c r="D74" s="74"/>
      <c r="E74" s="74" t="s">
        <v>202</v>
      </c>
      <c r="F74" s="86">
        <v>300</v>
      </c>
      <c r="G74" s="84">
        <f>CEILING(J74*K74,Настройки!$D$1)</f>
        <v>35.800000000000004</v>
      </c>
      <c r="H74" s="84">
        <f>CEILING(G74*Резка!$B$4,10)</f>
        <v>3580</v>
      </c>
      <c r="J74" s="73">
        <f t="shared" si="12"/>
        <v>22.361111111111111</v>
      </c>
      <c r="K74" s="84">
        <f>Настройки!$K$6</f>
        <v>1.6</v>
      </c>
      <c r="L74" s="73">
        <v>1</v>
      </c>
      <c r="M74" s="73">
        <v>0</v>
      </c>
      <c r="N74" s="73">
        <f t="shared" si="7"/>
        <v>0</v>
      </c>
      <c r="O74" s="73">
        <f t="shared" si="8"/>
        <v>0</v>
      </c>
      <c r="P74" s="73">
        <v>0</v>
      </c>
      <c r="Q74" s="73" t="s">
        <v>457</v>
      </c>
      <c r="S74" s="73">
        <v>1.75</v>
      </c>
      <c r="T74" s="73" t="s">
        <v>630</v>
      </c>
      <c r="U74" s="73">
        <v>9</v>
      </c>
      <c r="V74" s="73">
        <v>1</v>
      </c>
    </row>
    <row r="75" spans="1:22" ht="24">
      <c r="A75" s="86">
        <v>43</v>
      </c>
      <c r="B75" s="74" t="s">
        <v>1349</v>
      </c>
      <c r="C75" s="74" t="s">
        <v>1348</v>
      </c>
      <c r="D75" s="74"/>
      <c r="E75" s="74" t="s">
        <v>272</v>
      </c>
      <c r="F75" s="86">
        <v>300</v>
      </c>
      <c r="G75" s="84">
        <f>CEILING(J75*K75,Настройки!$D$1)</f>
        <v>7.6000000000000005</v>
      </c>
      <c r="H75" s="84">
        <f>CEILING(G75*Резка!$B$4,10)</f>
        <v>760</v>
      </c>
      <c r="J75" s="73">
        <f t="shared" si="12"/>
        <v>4.7437500000000004</v>
      </c>
      <c r="K75" s="84">
        <f>Настройки!$K$6</f>
        <v>1.6</v>
      </c>
      <c r="L75" s="73">
        <v>1</v>
      </c>
      <c r="M75" s="73">
        <v>1</v>
      </c>
      <c r="N75" s="73">
        <f t="shared" si="7"/>
        <v>1</v>
      </c>
      <c r="O75" s="73">
        <f t="shared" si="8"/>
        <v>1</v>
      </c>
      <c r="P75" s="73">
        <v>0</v>
      </c>
      <c r="Q75" s="73" t="s">
        <v>457</v>
      </c>
      <c r="S75" s="73">
        <v>16.5</v>
      </c>
      <c r="T75" s="73" t="s">
        <v>630</v>
      </c>
      <c r="U75" s="73">
        <v>400</v>
      </c>
      <c r="V75" s="73">
        <v>1</v>
      </c>
    </row>
    <row r="76" spans="1:22" ht="24" customHeight="1">
      <c r="A76" s="86">
        <v>44</v>
      </c>
      <c r="B76" s="85" t="s">
        <v>1307</v>
      </c>
      <c r="C76" s="74" t="s">
        <v>216</v>
      </c>
      <c r="D76" s="74"/>
      <c r="E76" s="74" t="s">
        <v>272</v>
      </c>
      <c r="F76" s="86">
        <v>300</v>
      </c>
      <c r="G76" s="84">
        <f>CEILING(J76*K76,Настройки!$D$1)</f>
        <v>16.600000000000001</v>
      </c>
      <c r="H76" s="84">
        <f>CEILING(G76*Резка!$B$4,10)</f>
        <v>1660</v>
      </c>
      <c r="J76" s="73">
        <f t="shared" si="12"/>
        <v>10.36</v>
      </c>
      <c r="K76" s="84">
        <f>Настройки!$K$6</f>
        <v>1.6</v>
      </c>
      <c r="L76" s="73">
        <v>1</v>
      </c>
      <c r="M76" s="73">
        <v>1</v>
      </c>
      <c r="N76" s="73">
        <f t="shared" si="7"/>
        <v>1</v>
      </c>
      <c r="O76" s="73">
        <f t="shared" si="8"/>
        <v>1</v>
      </c>
      <c r="P76" s="73">
        <v>0</v>
      </c>
      <c r="Q76" s="73" t="s">
        <v>457</v>
      </c>
      <c r="S76" s="73">
        <v>2590</v>
      </c>
      <c r="T76" s="73" t="s">
        <v>631</v>
      </c>
      <c r="U76" s="73">
        <v>250</v>
      </c>
      <c r="V76" s="73">
        <v>1</v>
      </c>
    </row>
    <row r="77" spans="1:22" ht="24">
      <c r="A77" s="86">
        <v>45</v>
      </c>
      <c r="B77" s="74" t="s">
        <v>210</v>
      </c>
      <c r="C77" s="74" t="s">
        <v>190</v>
      </c>
      <c r="D77" s="74"/>
      <c r="E77" s="74" t="s">
        <v>217</v>
      </c>
      <c r="F77" s="86">
        <v>290</v>
      </c>
      <c r="G77" s="84">
        <f>CEILING(J77*K77,Настройки!$D$1)</f>
        <v>78.95</v>
      </c>
      <c r="H77" s="84">
        <f>CEILING(G77*Резка!$B$4,10)</f>
        <v>7900</v>
      </c>
      <c r="J77" s="73">
        <f t="shared" si="12"/>
        <v>49.333333333333336</v>
      </c>
      <c r="K77" s="84">
        <f>Настройки!$K$6</f>
        <v>1.6</v>
      </c>
      <c r="L77" s="73">
        <v>1</v>
      </c>
      <c r="M77" s="73">
        <v>0</v>
      </c>
      <c r="N77" s="73">
        <f t="shared" si="7"/>
        <v>0</v>
      </c>
      <c r="O77" s="73">
        <f t="shared" si="8"/>
        <v>0</v>
      </c>
      <c r="P77" s="73">
        <v>0</v>
      </c>
      <c r="Q77" s="73" t="s">
        <v>457</v>
      </c>
      <c r="S77" s="73">
        <v>444</v>
      </c>
      <c r="T77" s="73" t="s">
        <v>631</v>
      </c>
      <c r="U77" s="73">
        <v>9</v>
      </c>
      <c r="V77" s="73">
        <v>1</v>
      </c>
    </row>
    <row r="78" spans="1:22">
      <c r="A78" s="86">
        <v>46</v>
      </c>
      <c r="B78" s="85" t="s">
        <v>210</v>
      </c>
      <c r="C78" s="74" t="s">
        <v>190</v>
      </c>
      <c r="D78" s="74"/>
      <c r="E78" s="74" t="s">
        <v>218</v>
      </c>
      <c r="F78" s="86">
        <v>290</v>
      </c>
      <c r="G78" s="84">
        <f>CEILING(J78*K78,Настройки!$D$1)</f>
        <v>78.95</v>
      </c>
      <c r="H78" s="84">
        <f>CEILING(G78*Резка!$B$4,10)</f>
        <v>7900</v>
      </c>
      <c r="J78" s="73">
        <f t="shared" si="12"/>
        <v>49.333333333333336</v>
      </c>
      <c r="K78" s="84">
        <f>Настройки!$K$6</f>
        <v>1.6</v>
      </c>
      <c r="L78" s="73">
        <v>1</v>
      </c>
      <c r="M78" s="73">
        <v>0</v>
      </c>
      <c r="N78" s="73">
        <f t="shared" si="7"/>
        <v>0</v>
      </c>
      <c r="O78" s="73">
        <f t="shared" si="8"/>
        <v>0</v>
      </c>
      <c r="P78" s="73">
        <v>0</v>
      </c>
      <c r="Q78" s="73" t="s">
        <v>457</v>
      </c>
      <c r="S78" s="73">
        <v>444</v>
      </c>
      <c r="T78" s="73" t="s">
        <v>631</v>
      </c>
      <c r="U78" s="73">
        <v>9</v>
      </c>
      <c r="V78" s="73">
        <v>1</v>
      </c>
    </row>
    <row r="79" spans="1:22">
      <c r="A79" s="86">
        <v>47</v>
      </c>
      <c r="B79" s="74" t="s">
        <v>219</v>
      </c>
      <c r="C79" s="74" t="s">
        <v>207</v>
      </c>
      <c r="D79" s="74"/>
      <c r="E79" s="74" t="s">
        <v>220</v>
      </c>
      <c r="F79" s="86">
        <v>301</v>
      </c>
      <c r="G79" s="84">
        <f>CEILING(J79*K79,Настройки!$D$1)</f>
        <v>95.800000000000011</v>
      </c>
      <c r="H79" s="84">
        <f>CEILING(G79*Резка!$B$4,10)</f>
        <v>9580</v>
      </c>
      <c r="J79" s="73">
        <f t="shared" si="12"/>
        <v>59.857777777777784</v>
      </c>
      <c r="K79" s="84">
        <f>Настройки!$K$6</f>
        <v>1.6</v>
      </c>
      <c r="L79" s="73">
        <v>1</v>
      </c>
      <c r="M79" s="73">
        <v>0</v>
      </c>
      <c r="N79" s="73">
        <f t="shared" si="7"/>
        <v>0</v>
      </c>
      <c r="O79" s="73">
        <f t="shared" si="8"/>
        <v>0</v>
      </c>
      <c r="P79" s="73">
        <v>0</v>
      </c>
      <c r="Q79" s="73" t="s">
        <v>457</v>
      </c>
      <c r="S79" s="73">
        <v>5.18</v>
      </c>
      <c r="T79" s="73" t="s">
        <v>632</v>
      </c>
      <c r="U79" s="73">
        <v>9</v>
      </c>
      <c r="V79" s="73">
        <v>1</v>
      </c>
    </row>
    <row r="80" spans="1:22" ht="24" customHeight="1">
      <c r="A80" s="86">
        <v>48</v>
      </c>
      <c r="B80" s="85" t="s">
        <v>1307</v>
      </c>
      <c r="C80" s="74" t="s">
        <v>1350</v>
      </c>
      <c r="D80" s="74"/>
      <c r="E80" s="74" t="s">
        <v>272</v>
      </c>
      <c r="F80" s="86">
        <v>200</v>
      </c>
      <c r="G80" s="84">
        <f>CEILING(J80*K80,Настройки!$D$1)</f>
        <v>7.4</v>
      </c>
      <c r="H80" s="84">
        <f>CEILING(G80*Резка!$B$4,10)</f>
        <v>740</v>
      </c>
      <c r="J80" s="73">
        <f>IF(T80=$S$28,S80*$T$28/U80,IF(T80=$S$29,S80*$T$29/U80,S80/U80))</f>
        <v>4.5999999999999996</v>
      </c>
      <c r="K80" s="84">
        <f>Настройки!$K$6</f>
        <v>1.6</v>
      </c>
      <c r="L80" s="73">
        <v>1</v>
      </c>
      <c r="M80" s="73">
        <v>1</v>
      </c>
      <c r="N80" s="73">
        <f>M80</f>
        <v>1</v>
      </c>
      <c r="O80" s="73">
        <f>M80</f>
        <v>1</v>
      </c>
      <c r="P80" s="73">
        <v>0</v>
      </c>
      <c r="Q80" s="73" t="s">
        <v>457</v>
      </c>
      <c r="S80" s="73">
        <v>1150</v>
      </c>
      <c r="T80" s="73" t="s">
        <v>631</v>
      </c>
      <c r="U80" s="73">
        <v>250</v>
      </c>
      <c r="V80" s="73">
        <v>1</v>
      </c>
    </row>
    <row r="81" spans="1:22" ht="15.75" customHeight="1">
      <c r="A81" s="84">
        <v>49</v>
      </c>
      <c r="B81" s="85" t="s">
        <v>892</v>
      </c>
      <c r="C81" s="85" t="s">
        <v>186</v>
      </c>
      <c r="D81" s="85"/>
      <c r="E81" s="85" t="s">
        <v>215</v>
      </c>
      <c r="F81" s="84">
        <v>250</v>
      </c>
      <c r="G81" s="84">
        <f>CEILING(J81*K81,Настройки!$D$1)</f>
        <v>2.95</v>
      </c>
      <c r="H81" s="84">
        <f>CEILING(G81*Резка!$B$4,10)</f>
        <v>300</v>
      </c>
      <c r="J81" s="73">
        <f>IF(T81=$S$28,S81*$T$28/U81,IF(T81=$S$29,S81*$T$29/U81,S81/U81))</f>
        <v>1.8180000000000001</v>
      </c>
      <c r="K81" s="84">
        <f>Настройки!$K$6</f>
        <v>1.6</v>
      </c>
      <c r="L81" s="73">
        <v>1</v>
      </c>
      <c r="M81" s="73">
        <v>1</v>
      </c>
      <c r="N81" s="73">
        <f>M81</f>
        <v>1</v>
      </c>
      <c r="O81" s="73">
        <f>M81</f>
        <v>1</v>
      </c>
      <c r="P81" s="73">
        <v>0</v>
      </c>
      <c r="Q81" s="73" t="s">
        <v>457</v>
      </c>
      <c r="S81" s="73">
        <v>909</v>
      </c>
      <c r="T81" s="73" t="s">
        <v>631</v>
      </c>
      <c r="U81" s="73">
        <v>500</v>
      </c>
      <c r="V81" s="73">
        <v>1</v>
      </c>
    </row>
    <row r="82" spans="1:22">
      <c r="A82" s="86">
        <v>50</v>
      </c>
      <c r="B82" s="85" t="s">
        <v>219</v>
      </c>
      <c r="C82" s="74" t="s">
        <v>207</v>
      </c>
      <c r="D82" s="74"/>
      <c r="E82" s="74" t="s">
        <v>221</v>
      </c>
      <c r="F82" s="86">
        <v>301</v>
      </c>
      <c r="G82" s="84">
        <f>CEILING(J82*K82,Настройки!$D$1)</f>
        <v>95.800000000000011</v>
      </c>
      <c r="H82" s="84">
        <f>CEILING(G82*Резка!$B$4,10)</f>
        <v>9580</v>
      </c>
      <c r="J82" s="73">
        <f t="shared" si="12"/>
        <v>59.857777777777784</v>
      </c>
      <c r="K82" s="84">
        <f>Настройки!$K$6</f>
        <v>1.6</v>
      </c>
      <c r="L82" s="73">
        <v>1</v>
      </c>
      <c r="M82" s="73">
        <v>0</v>
      </c>
      <c r="N82" s="73">
        <f t="shared" si="7"/>
        <v>0</v>
      </c>
      <c r="O82" s="73">
        <f t="shared" si="8"/>
        <v>0</v>
      </c>
      <c r="P82" s="73">
        <v>0</v>
      </c>
      <c r="Q82" s="73" t="s">
        <v>457</v>
      </c>
      <c r="S82" s="73">
        <v>5.18</v>
      </c>
      <c r="T82" s="73" t="s">
        <v>632</v>
      </c>
      <c r="U82" s="73">
        <v>9</v>
      </c>
      <c r="V82" s="73">
        <v>1</v>
      </c>
    </row>
    <row r="83" spans="1:22">
      <c r="A83" s="86">
        <v>52</v>
      </c>
      <c r="B83" s="74" t="s">
        <v>222</v>
      </c>
      <c r="C83" s="74" t="s">
        <v>190</v>
      </c>
      <c r="D83" s="74"/>
      <c r="E83" s="74" t="s">
        <v>223</v>
      </c>
      <c r="F83" s="86">
        <v>300</v>
      </c>
      <c r="G83" s="84">
        <f>CEILING(J83*K83,Настройки!$D$1)</f>
        <v>28.05</v>
      </c>
      <c r="H83" s="84">
        <f>CEILING(G83*Резка!$B$4,10)</f>
        <v>2810</v>
      </c>
      <c r="J83" s="73">
        <f t="shared" si="12"/>
        <v>17.505555555555556</v>
      </c>
      <c r="K83" s="84">
        <f>Настройки!$K$6</f>
        <v>1.6</v>
      </c>
      <c r="L83" s="73">
        <v>1</v>
      </c>
      <c r="M83" s="73">
        <v>0</v>
      </c>
      <c r="N83" s="73">
        <f t="shared" si="7"/>
        <v>0</v>
      </c>
      <c r="O83" s="73">
        <f t="shared" si="8"/>
        <v>0</v>
      </c>
      <c r="P83" s="73">
        <v>0</v>
      </c>
      <c r="Q83" s="73" t="s">
        <v>457</v>
      </c>
      <c r="S83" s="73">
        <v>1.37</v>
      </c>
      <c r="T83" s="73" t="s">
        <v>630</v>
      </c>
      <c r="U83" s="73">
        <v>9</v>
      </c>
      <c r="V83" s="73">
        <v>1</v>
      </c>
    </row>
    <row r="84" spans="1:22">
      <c r="A84" s="86">
        <v>53</v>
      </c>
      <c r="B84" s="85" t="s">
        <v>222</v>
      </c>
      <c r="C84" s="74" t="s">
        <v>190</v>
      </c>
      <c r="D84" s="74"/>
      <c r="E84" s="74" t="s">
        <v>224</v>
      </c>
      <c r="F84" s="86">
        <v>300</v>
      </c>
      <c r="G84" s="84">
        <f>CEILING(J84*K84,Настройки!$D$1)</f>
        <v>28.05</v>
      </c>
      <c r="H84" s="84">
        <f>CEILING(G84*Резка!$B$4,10)</f>
        <v>2810</v>
      </c>
      <c r="J84" s="73">
        <f t="shared" si="12"/>
        <v>17.505555555555556</v>
      </c>
      <c r="K84" s="84">
        <f>Настройки!$K$6</f>
        <v>1.6</v>
      </c>
      <c r="L84" s="73">
        <v>1</v>
      </c>
      <c r="M84" s="73">
        <v>0</v>
      </c>
      <c r="N84" s="73">
        <f t="shared" si="7"/>
        <v>0</v>
      </c>
      <c r="O84" s="73">
        <f t="shared" si="8"/>
        <v>0</v>
      </c>
      <c r="P84" s="73">
        <v>0</v>
      </c>
      <c r="Q84" s="73" t="s">
        <v>457</v>
      </c>
      <c r="S84" s="73">
        <v>1.37</v>
      </c>
      <c r="T84" s="73" t="s">
        <v>630</v>
      </c>
      <c r="U84" s="73">
        <v>9</v>
      </c>
      <c r="V84" s="73">
        <v>1</v>
      </c>
    </row>
    <row r="85" spans="1:22" ht="15.75" customHeight="1">
      <c r="A85" s="84">
        <v>54</v>
      </c>
      <c r="B85" s="85" t="s">
        <v>1354</v>
      </c>
      <c r="C85" s="85" t="s">
        <v>1355</v>
      </c>
      <c r="D85" s="85"/>
      <c r="E85" s="85" t="s">
        <v>1356</v>
      </c>
      <c r="F85" s="84">
        <v>100</v>
      </c>
      <c r="G85" s="84">
        <f>CEILING(J85*K85,Настройки!$D$1)</f>
        <v>124.80000000000001</v>
      </c>
      <c r="H85" s="84">
        <f>CEILING(G85*Резка!$B$4,10)</f>
        <v>12480</v>
      </c>
      <c r="J85" s="73">
        <f>IF(T85=$S$28,S85*$T$28/U85,IF(T85=$S$29,S85*$T$29/U85,S85/U85))</f>
        <v>78</v>
      </c>
      <c r="K85" s="84">
        <f>Настройки!$K$6</f>
        <v>1.6</v>
      </c>
      <c r="L85" s="73">
        <v>1</v>
      </c>
      <c r="M85" s="73">
        <v>1</v>
      </c>
      <c r="N85" s="73">
        <f>M85</f>
        <v>1</v>
      </c>
      <c r="O85" s="73">
        <f>M85</f>
        <v>1</v>
      </c>
      <c r="P85" s="73">
        <v>0</v>
      </c>
      <c r="Q85" s="73" t="s">
        <v>457</v>
      </c>
      <c r="S85" s="73">
        <v>156</v>
      </c>
      <c r="T85" s="73" t="s">
        <v>631</v>
      </c>
      <c r="U85" s="73">
        <v>2</v>
      </c>
      <c r="V85" s="73">
        <v>1</v>
      </c>
    </row>
    <row r="86" spans="1:22">
      <c r="A86" s="86">
        <v>55</v>
      </c>
      <c r="B86" s="85" t="s">
        <v>219</v>
      </c>
      <c r="C86" s="74" t="s">
        <v>207</v>
      </c>
      <c r="D86" s="74"/>
      <c r="E86" s="74" t="s">
        <v>226</v>
      </c>
      <c r="F86" s="86">
        <v>301</v>
      </c>
      <c r="G86" s="84">
        <f>CEILING(J86*K86,Настройки!$D$1)</f>
        <v>95.800000000000011</v>
      </c>
      <c r="H86" s="84">
        <f>CEILING(G86*Резка!$B$4,10)</f>
        <v>9580</v>
      </c>
      <c r="J86" s="73">
        <f t="shared" si="12"/>
        <v>59.857777777777784</v>
      </c>
      <c r="K86" s="84">
        <f>Настройки!$K$6</f>
        <v>1.6</v>
      </c>
      <c r="L86" s="73">
        <v>1</v>
      </c>
      <c r="M86" s="73">
        <v>0</v>
      </c>
      <c r="N86" s="73">
        <f t="shared" si="7"/>
        <v>0</v>
      </c>
      <c r="O86" s="73">
        <f t="shared" si="8"/>
        <v>0</v>
      </c>
      <c r="P86" s="73">
        <v>0</v>
      </c>
      <c r="Q86" s="73" t="s">
        <v>457</v>
      </c>
      <c r="S86" s="73">
        <v>5.18</v>
      </c>
      <c r="T86" s="73" t="s">
        <v>632</v>
      </c>
      <c r="U86" s="73">
        <v>9</v>
      </c>
      <c r="V86" s="73">
        <v>1</v>
      </c>
    </row>
    <row r="87" spans="1:22" ht="24">
      <c r="A87" s="86">
        <v>56</v>
      </c>
      <c r="B87" s="74" t="s">
        <v>210</v>
      </c>
      <c r="C87" s="74" t="s">
        <v>190</v>
      </c>
      <c r="D87" s="74"/>
      <c r="E87" s="74" t="s">
        <v>227</v>
      </c>
      <c r="F87" s="86">
        <v>250</v>
      </c>
      <c r="G87" s="84">
        <f>CEILING(J87*K87,Настройки!$D$1)</f>
        <v>42.35</v>
      </c>
      <c r="H87" s="84">
        <f>CEILING(G87*Резка!$B$4,10)</f>
        <v>4240</v>
      </c>
      <c r="J87" s="73">
        <f t="shared" si="12"/>
        <v>26.45</v>
      </c>
      <c r="K87" s="84">
        <f>Настройки!$K$6</f>
        <v>1.6</v>
      </c>
      <c r="L87" s="73">
        <v>1</v>
      </c>
      <c r="M87" s="73">
        <v>0</v>
      </c>
      <c r="N87" s="73">
        <f t="shared" si="7"/>
        <v>0</v>
      </c>
      <c r="O87" s="73">
        <f t="shared" si="8"/>
        <v>0</v>
      </c>
      <c r="P87" s="73">
        <v>0</v>
      </c>
      <c r="Q87" s="73" t="s">
        <v>457</v>
      </c>
      <c r="S87" s="73">
        <v>2.0699999999999998</v>
      </c>
      <c r="T87" s="73" t="s">
        <v>630</v>
      </c>
      <c r="U87" s="73">
        <v>9</v>
      </c>
      <c r="V87" s="73">
        <v>1</v>
      </c>
    </row>
    <row r="88" spans="1:22">
      <c r="A88" s="86">
        <v>57</v>
      </c>
      <c r="B88" s="85" t="s">
        <v>210</v>
      </c>
      <c r="C88" s="74" t="s">
        <v>190</v>
      </c>
      <c r="D88" s="74"/>
      <c r="E88" s="74" t="s">
        <v>228</v>
      </c>
      <c r="F88" s="86">
        <v>290</v>
      </c>
      <c r="G88" s="84">
        <f>CEILING(J88*K88,Настройки!$D$1)</f>
        <v>42.35</v>
      </c>
      <c r="H88" s="84">
        <f>CEILING(G88*Резка!$B$4,10)</f>
        <v>4240</v>
      </c>
      <c r="J88" s="73">
        <f t="shared" si="12"/>
        <v>26.45</v>
      </c>
      <c r="K88" s="84">
        <f>Настройки!$K$6</f>
        <v>1.6</v>
      </c>
      <c r="L88" s="73">
        <v>1</v>
      </c>
      <c r="M88" s="73">
        <v>0</v>
      </c>
      <c r="N88" s="73">
        <f t="shared" si="7"/>
        <v>0</v>
      </c>
      <c r="O88" s="73">
        <f t="shared" si="8"/>
        <v>0</v>
      </c>
      <c r="P88" s="73">
        <v>0</v>
      </c>
      <c r="Q88" s="73" t="s">
        <v>457</v>
      </c>
      <c r="S88" s="73">
        <v>2.0699999999999998</v>
      </c>
      <c r="T88" s="73" t="s">
        <v>630</v>
      </c>
      <c r="U88" s="73">
        <v>9</v>
      </c>
      <c r="V88" s="73">
        <v>1</v>
      </c>
    </row>
    <row r="89" spans="1:22" ht="24">
      <c r="A89" s="86">
        <v>58</v>
      </c>
      <c r="B89" s="74" t="s">
        <v>219</v>
      </c>
      <c r="C89" s="74" t="s">
        <v>207</v>
      </c>
      <c r="D89" s="74"/>
      <c r="E89" s="74" t="s">
        <v>229</v>
      </c>
      <c r="F89" s="86">
        <v>301</v>
      </c>
      <c r="G89" s="84">
        <f>CEILING(J89*K89,Настройки!$D$1)</f>
        <v>95.800000000000011</v>
      </c>
      <c r="H89" s="84">
        <f>CEILING(G89*Резка!$B$4,10)</f>
        <v>9580</v>
      </c>
      <c r="J89" s="73">
        <f t="shared" si="12"/>
        <v>59.857777777777784</v>
      </c>
      <c r="K89" s="84">
        <f>Настройки!$K$6</f>
        <v>1.6</v>
      </c>
      <c r="L89" s="73">
        <v>1</v>
      </c>
      <c r="M89" s="73">
        <v>0</v>
      </c>
      <c r="N89" s="73">
        <f t="shared" si="7"/>
        <v>0</v>
      </c>
      <c r="O89" s="73">
        <f t="shared" si="8"/>
        <v>0</v>
      </c>
      <c r="P89" s="73">
        <v>0</v>
      </c>
      <c r="Q89" s="73" t="s">
        <v>457</v>
      </c>
      <c r="S89" s="73">
        <v>5.18</v>
      </c>
      <c r="T89" s="73" t="s">
        <v>632</v>
      </c>
      <c r="U89" s="73">
        <v>9</v>
      </c>
      <c r="V89" s="73">
        <v>1</v>
      </c>
    </row>
    <row r="90" spans="1:22" ht="24">
      <c r="A90" s="86">
        <v>59</v>
      </c>
      <c r="B90" s="85" t="s">
        <v>210</v>
      </c>
      <c r="C90" s="74" t="s">
        <v>190</v>
      </c>
      <c r="D90" s="74"/>
      <c r="E90" s="74" t="s">
        <v>230</v>
      </c>
      <c r="F90" s="86">
        <v>290</v>
      </c>
      <c r="G90" s="84">
        <f>CEILING(J90*K90,Настройки!$D$1)</f>
        <v>78.95</v>
      </c>
      <c r="H90" s="84">
        <f>CEILING(G90*Резка!$B$4,10)</f>
        <v>7900</v>
      </c>
      <c r="J90" s="73">
        <f t="shared" si="12"/>
        <v>49.333333333333336</v>
      </c>
      <c r="K90" s="84">
        <f>Настройки!$K$6</f>
        <v>1.6</v>
      </c>
      <c r="L90" s="73">
        <v>1</v>
      </c>
      <c r="M90" s="73">
        <v>0</v>
      </c>
      <c r="N90" s="73">
        <f t="shared" si="7"/>
        <v>0</v>
      </c>
      <c r="O90" s="73">
        <f t="shared" si="8"/>
        <v>0</v>
      </c>
      <c r="P90" s="73">
        <v>0</v>
      </c>
      <c r="Q90" s="73" t="s">
        <v>457</v>
      </c>
      <c r="S90" s="73">
        <v>444</v>
      </c>
      <c r="T90" s="73" t="s">
        <v>631</v>
      </c>
      <c r="U90" s="73">
        <v>9</v>
      </c>
      <c r="V90" s="73">
        <v>1</v>
      </c>
    </row>
    <row r="91" spans="1:22">
      <c r="A91" s="86">
        <v>60</v>
      </c>
      <c r="B91" s="74" t="s">
        <v>210</v>
      </c>
      <c r="C91" s="74" t="s">
        <v>190</v>
      </c>
      <c r="D91" s="74"/>
      <c r="E91" s="74" t="s">
        <v>231</v>
      </c>
      <c r="F91" s="86">
        <v>290</v>
      </c>
      <c r="G91" s="84">
        <f>CEILING(J91*K91,Настройки!$D$1)</f>
        <v>52.75</v>
      </c>
      <c r="H91" s="84">
        <f>CEILING(G91*Резка!$B$4,10)</f>
        <v>5280</v>
      </c>
      <c r="J91" s="73">
        <f t="shared" si="12"/>
        <v>32.966666666666669</v>
      </c>
      <c r="K91" s="84">
        <f>Настройки!$K$6</f>
        <v>1.6</v>
      </c>
      <c r="L91" s="73">
        <v>1</v>
      </c>
      <c r="M91" s="73">
        <v>0</v>
      </c>
      <c r="N91" s="73">
        <f t="shared" si="7"/>
        <v>0</v>
      </c>
      <c r="O91" s="73">
        <f t="shared" si="8"/>
        <v>0</v>
      </c>
      <c r="P91" s="73">
        <v>0</v>
      </c>
      <c r="Q91" s="73" t="s">
        <v>457</v>
      </c>
      <c r="S91" s="73">
        <v>2.58</v>
      </c>
      <c r="T91" s="73" t="s">
        <v>630</v>
      </c>
      <c r="U91" s="73">
        <v>9</v>
      </c>
      <c r="V91" s="73">
        <v>1</v>
      </c>
    </row>
    <row r="92" spans="1:22">
      <c r="A92" s="86">
        <v>61</v>
      </c>
      <c r="B92" s="85" t="s">
        <v>210</v>
      </c>
      <c r="C92" s="74" t="s">
        <v>190</v>
      </c>
      <c r="D92" s="74"/>
      <c r="E92" s="74" t="s">
        <v>232</v>
      </c>
      <c r="F92" s="86">
        <v>290</v>
      </c>
      <c r="G92" s="84">
        <f>CEILING(J92*K92,Настройки!$D$1)</f>
        <v>42.35</v>
      </c>
      <c r="H92" s="84">
        <f>CEILING(G92*Резка!$B$4,10)</f>
        <v>4240</v>
      </c>
      <c r="J92" s="73">
        <f t="shared" si="12"/>
        <v>26.45</v>
      </c>
      <c r="K92" s="84">
        <f>Настройки!$K$6</f>
        <v>1.6</v>
      </c>
      <c r="L92" s="73">
        <v>1</v>
      </c>
      <c r="M92" s="73">
        <v>0</v>
      </c>
      <c r="N92" s="73">
        <f t="shared" si="7"/>
        <v>0</v>
      </c>
      <c r="O92" s="73">
        <f t="shared" si="8"/>
        <v>0</v>
      </c>
      <c r="P92" s="73">
        <v>0</v>
      </c>
      <c r="Q92" s="73" t="s">
        <v>457</v>
      </c>
      <c r="S92" s="73">
        <v>2.0699999999999998</v>
      </c>
      <c r="T92" s="73" t="s">
        <v>630</v>
      </c>
      <c r="U92" s="73">
        <v>9</v>
      </c>
      <c r="V92" s="73">
        <v>1</v>
      </c>
    </row>
    <row r="93" spans="1:22">
      <c r="A93" s="86">
        <v>63</v>
      </c>
      <c r="B93" s="85" t="s">
        <v>210</v>
      </c>
      <c r="C93" s="74" t="s">
        <v>190</v>
      </c>
      <c r="D93" s="74"/>
      <c r="E93" s="74" t="s">
        <v>233</v>
      </c>
      <c r="F93" s="86">
        <v>290</v>
      </c>
      <c r="G93" s="84">
        <f>CEILING(J93*K93,Настройки!$D$1)</f>
        <v>42.35</v>
      </c>
      <c r="H93" s="84">
        <f>CEILING(G93*Резка!$B$4,10)</f>
        <v>4240</v>
      </c>
      <c r="J93" s="73">
        <f t="shared" si="12"/>
        <v>26.45</v>
      </c>
      <c r="K93" s="84">
        <f>Настройки!$K$6</f>
        <v>1.6</v>
      </c>
      <c r="L93" s="73">
        <v>1</v>
      </c>
      <c r="M93" s="73">
        <v>0</v>
      </c>
      <c r="N93" s="73">
        <f t="shared" si="7"/>
        <v>0</v>
      </c>
      <c r="O93" s="73">
        <f t="shared" si="8"/>
        <v>0</v>
      </c>
      <c r="P93" s="73">
        <v>0</v>
      </c>
      <c r="Q93" s="73" t="s">
        <v>457</v>
      </c>
      <c r="S93" s="73">
        <v>2.0699999999999998</v>
      </c>
      <c r="T93" s="73" t="s">
        <v>630</v>
      </c>
      <c r="U93" s="73">
        <v>9</v>
      </c>
      <c r="V93" s="73">
        <v>1</v>
      </c>
    </row>
    <row r="94" spans="1:22">
      <c r="A94" s="86">
        <v>64</v>
      </c>
      <c r="B94" s="74" t="s">
        <v>219</v>
      </c>
      <c r="C94" s="74" t="s">
        <v>207</v>
      </c>
      <c r="D94" s="74"/>
      <c r="E94" s="74" t="s">
        <v>191</v>
      </c>
      <c r="F94" s="86">
        <v>301</v>
      </c>
      <c r="G94" s="84">
        <f>CEILING(J94*K94,Настройки!$D$1)</f>
        <v>95.800000000000011</v>
      </c>
      <c r="H94" s="84">
        <f>CEILING(G94*Резка!$B$4,10)</f>
        <v>9580</v>
      </c>
      <c r="J94" s="73">
        <f t="shared" si="12"/>
        <v>59.857777777777784</v>
      </c>
      <c r="K94" s="84">
        <f>Настройки!$K$6</f>
        <v>1.6</v>
      </c>
      <c r="L94" s="73">
        <v>1</v>
      </c>
      <c r="M94" s="73">
        <v>0</v>
      </c>
      <c r="N94" s="73">
        <f t="shared" si="7"/>
        <v>0</v>
      </c>
      <c r="O94" s="73">
        <f t="shared" si="8"/>
        <v>0</v>
      </c>
      <c r="P94" s="73">
        <v>0</v>
      </c>
      <c r="Q94" s="73" t="s">
        <v>457</v>
      </c>
      <c r="S94" s="73">
        <v>5.18</v>
      </c>
      <c r="T94" s="73" t="s">
        <v>632</v>
      </c>
      <c r="U94" s="73">
        <v>9</v>
      </c>
      <c r="V94" s="73">
        <v>1</v>
      </c>
    </row>
    <row r="95" spans="1:22">
      <c r="A95" s="86">
        <v>65</v>
      </c>
      <c r="B95" s="85" t="s">
        <v>219</v>
      </c>
      <c r="C95" s="74" t="s">
        <v>207</v>
      </c>
      <c r="D95" s="74"/>
      <c r="E95" s="74" t="s">
        <v>234</v>
      </c>
      <c r="F95" s="86">
        <v>301</v>
      </c>
      <c r="G95" s="84">
        <f>CEILING(J95*K95,Настройки!$D$1)</f>
        <v>95.800000000000011</v>
      </c>
      <c r="H95" s="84">
        <f>CEILING(G95*Резка!$B$4,10)</f>
        <v>9580</v>
      </c>
      <c r="J95" s="73">
        <f t="shared" si="12"/>
        <v>59.857777777777784</v>
      </c>
      <c r="K95" s="84">
        <f>Настройки!$K$6</f>
        <v>1.6</v>
      </c>
      <c r="L95" s="73">
        <v>1</v>
      </c>
      <c r="M95" s="73">
        <v>0</v>
      </c>
      <c r="N95" s="73">
        <f t="shared" si="7"/>
        <v>0</v>
      </c>
      <c r="O95" s="73">
        <f t="shared" si="8"/>
        <v>0</v>
      </c>
      <c r="P95" s="73">
        <v>0</v>
      </c>
      <c r="Q95" s="73" t="s">
        <v>457</v>
      </c>
      <c r="S95" s="73">
        <v>5.18</v>
      </c>
      <c r="T95" s="73" t="s">
        <v>632</v>
      </c>
      <c r="U95" s="73">
        <v>9</v>
      </c>
      <c r="V95" s="73">
        <v>1</v>
      </c>
    </row>
    <row r="96" spans="1:22" ht="24">
      <c r="A96" s="86">
        <v>66</v>
      </c>
      <c r="B96" s="74" t="s">
        <v>187</v>
      </c>
      <c r="C96" s="74" t="s">
        <v>188</v>
      </c>
      <c r="D96" s="74"/>
      <c r="E96" s="74" t="s">
        <v>235</v>
      </c>
      <c r="F96" s="86">
        <v>300</v>
      </c>
      <c r="G96" s="84">
        <f>CEILING(J96*K96,Настройки!$D$1)</f>
        <v>35.800000000000004</v>
      </c>
      <c r="H96" s="84">
        <f>CEILING(G96*Резка!$B$4,10)</f>
        <v>3580</v>
      </c>
      <c r="J96" s="73">
        <f t="shared" si="12"/>
        <v>22.361111111111111</v>
      </c>
      <c r="K96" s="84">
        <f>Настройки!$K$6</f>
        <v>1.6</v>
      </c>
      <c r="L96" s="73">
        <v>1</v>
      </c>
      <c r="M96" s="73">
        <v>0</v>
      </c>
      <c r="N96" s="73">
        <f t="shared" si="7"/>
        <v>0</v>
      </c>
      <c r="O96" s="73">
        <f t="shared" si="8"/>
        <v>0</v>
      </c>
      <c r="P96" s="73">
        <v>0</v>
      </c>
      <c r="Q96" s="73" t="s">
        <v>457</v>
      </c>
      <c r="S96" s="73">
        <v>1.75</v>
      </c>
      <c r="T96" s="73" t="s">
        <v>630</v>
      </c>
      <c r="U96" s="73">
        <v>9</v>
      </c>
      <c r="V96" s="73">
        <v>1</v>
      </c>
    </row>
    <row r="97" spans="1:22">
      <c r="A97" s="86">
        <v>67</v>
      </c>
      <c r="B97" s="85" t="s">
        <v>236</v>
      </c>
      <c r="C97" s="74" t="s">
        <v>237</v>
      </c>
      <c r="D97" s="74"/>
      <c r="E97" s="74" t="s">
        <v>191</v>
      </c>
      <c r="F97" s="86">
        <v>224</v>
      </c>
      <c r="G97" s="84">
        <f>CEILING(J97*K97,Настройки!$D$1)</f>
        <v>16.8</v>
      </c>
      <c r="H97" s="84">
        <f>CEILING(G97*Резка!$B$4,10)</f>
        <v>1680</v>
      </c>
      <c r="J97" s="73">
        <f t="shared" si="12"/>
        <v>10.477777777777778</v>
      </c>
      <c r="K97" s="84">
        <f>Настройки!$K$6</f>
        <v>1.6</v>
      </c>
      <c r="L97" s="73">
        <v>1</v>
      </c>
      <c r="M97" s="73">
        <v>0</v>
      </c>
      <c r="N97" s="73">
        <f t="shared" si="7"/>
        <v>0</v>
      </c>
      <c r="O97" s="73">
        <f t="shared" si="8"/>
        <v>0</v>
      </c>
      <c r="P97" s="73">
        <v>0</v>
      </c>
      <c r="Q97" s="73" t="s">
        <v>457</v>
      </c>
      <c r="S97" s="73">
        <v>0.82</v>
      </c>
      <c r="T97" s="73" t="s">
        <v>630</v>
      </c>
      <c r="U97" s="73">
        <v>9</v>
      </c>
      <c r="V97" s="73">
        <v>1</v>
      </c>
    </row>
    <row r="98" spans="1:22" ht="24">
      <c r="A98" s="86">
        <v>69</v>
      </c>
      <c r="B98" s="85" t="s">
        <v>210</v>
      </c>
      <c r="C98" s="74" t="s">
        <v>190</v>
      </c>
      <c r="D98" s="74"/>
      <c r="E98" s="74" t="s">
        <v>238</v>
      </c>
      <c r="F98" s="86">
        <v>290</v>
      </c>
      <c r="G98" s="84">
        <f>CEILING(J98*K98,Настройки!$D$1)</f>
        <v>42.35</v>
      </c>
      <c r="H98" s="84">
        <f>CEILING(G98*Резка!$B$4,10)</f>
        <v>4240</v>
      </c>
      <c r="J98" s="73">
        <f t="shared" si="12"/>
        <v>26.45</v>
      </c>
      <c r="K98" s="84">
        <f>Настройки!$K$6</f>
        <v>1.6</v>
      </c>
      <c r="L98" s="73">
        <v>1</v>
      </c>
      <c r="M98" s="73">
        <v>0</v>
      </c>
      <c r="N98" s="73">
        <f t="shared" si="7"/>
        <v>0</v>
      </c>
      <c r="O98" s="73">
        <f t="shared" si="8"/>
        <v>0</v>
      </c>
      <c r="P98" s="73">
        <v>0</v>
      </c>
      <c r="Q98" s="73" t="s">
        <v>457</v>
      </c>
      <c r="S98" s="73">
        <v>2.0699999999999998</v>
      </c>
      <c r="T98" s="73" t="s">
        <v>630</v>
      </c>
      <c r="U98" s="73">
        <v>9</v>
      </c>
      <c r="V98" s="73">
        <v>1</v>
      </c>
    </row>
    <row r="99" spans="1:22">
      <c r="A99" s="86">
        <v>70</v>
      </c>
      <c r="B99" s="85" t="s">
        <v>239</v>
      </c>
      <c r="C99" s="74" t="s">
        <v>240</v>
      </c>
      <c r="D99" s="74"/>
      <c r="E99" s="74" t="s">
        <v>241</v>
      </c>
      <c r="F99" s="86">
        <v>250</v>
      </c>
      <c r="G99" s="84">
        <f>CEILING(J99*K99,Настройки!$D$1)</f>
        <v>37.450000000000003</v>
      </c>
      <c r="H99" s="84">
        <f>CEILING(G99*Резка!$B$4,10)</f>
        <v>3750</v>
      </c>
      <c r="J99" s="73">
        <f t="shared" si="12"/>
        <v>23.383333333333336</v>
      </c>
      <c r="K99" s="84">
        <f>Настройки!$K$6</f>
        <v>1.6</v>
      </c>
      <c r="L99" s="73">
        <v>1</v>
      </c>
      <c r="M99" s="73">
        <v>0</v>
      </c>
      <c r="N99" s="73">
        <f t="shared" si="7"/>
        <v>0</v>
      </c>
      <c r="O99" s="73">
        <f t="shared" si="8"/>
        <v>0</v>
      </c>
      <c r="P99" s="73">
        <v>0</v>
      </c>
      <c r="Q99" s="73" t="s">
        <v>457</v>
      </c>
      <c r="S99" s="73">
        <v>1.83</v>
      </c>
      <c r="T99" s="73" t="s">
        <v>630</v>
      </c>
      <c r="U99" s="73">
        <v>9</v>
      </c>
      <c r="V99" s="73">
        <v>1</v>
      </c>
    </row>
    <row r="100" spans="1:22">
      <c r="A100" s="86">
        <v>71</v>
      </c>
      <c r="B100" s="85" t="s">
        <v>239</v>
      </c>
      <c r="C100" s="74" t="s">
        <v>240</v>
      </c>
      <c r="D100" s="74"/>
      <c r="E100" s="74" t="s">
        <v>215</v>
      </c>
      <c r="F100" s="86">
        <v>250</v>
      </c>
      <c r="G100" s="84">
        <f>CEILING(J100*K100,Настройки!$D$1)</f>
        <v>37.450000000000003</v>
      </c>
      <c r="H100" s="84">
        <f>CEILING(G100*Резка!$B$4,10)</f>
        <v>3750</v>
      </c>
      <c r="J100" s="73">
        <f t="shared" si="12"/>
        <v>23.383333333333336</v>
      </c>
      <c r="K100" s="84">
        <f>Настройки!$K$6</f>
        <v>1.6</v>
      </c>
      <c r="L100" s="73">
        <v>1</v>
      </c>
      <c r="M100" s="73">
        <v>0</v>
      </c>
      <c r="N100" s="73">
        <f t="shared" si="7"/>
        <v>0</v>
      </c>
      <c r="O100" s="73">
        <f t="shared" si="8"/>
        <v>0</v>
      </c>
      <c r="P100" s="73">
        <v>0</v>
      </c>
      <c r="Q100" s="73" t="s">
        <v>457</v>
      </c>
      <c r="S100" s="73">
        <v>1.83</v>
      </c>
      <c r="T100" s="73" t="s">
        <v>630</v>
      </c>
      <c r="U100" s="73">
        <v>9</v>
      </c>
      <c r="V100" s="73">
        <v>1</v>
      </c>
    </row>
    <row r="101" spans="1:22" ht="24">
      <c r="A101" s="86">
        <v>72</v>
      </c>
      <c r="B101" s="74" t="s">
        <v>1364</v>
      </c>
      <c r="C101" s="74" t="s">
        <v>1226</v>
      </c>
      <c r="D101" s="74"/>
      <c r="E101" s="74" t="s">
        <v>1226</v>
      </c>
      <c r="F101" s="86">
        <v>120</v>
      </c>
      <c r="G101" s="84">
        <f>CEILING(J101*K101,Настройки!$D$1)</f>
        <v>9.65</v>
      </c>
      <c r="H101" s="84">
        <f>CEILING(G101*Резка!$B$4,10)</f>
        <v>970</v>
      </c>
      <c r="J101" s="73">
        <f t="shared" si="12"/>
        <v>6.0055555555555555</v>
      </c>
      <c r="K101" s="84">
        <f>Настройки!$K$6</f>
        <v>1.6</v>
      </c>
      <c r="L101" s="73">
        <v>1</v>
      </c>
      <c r="M101" s="73">
        <v>0</v>
      </c>
      <c r="N101" s="73">
        <f t="shared" si="7"/>
        <v>0</v>
      </c>
      <c r="O101" s="73">
        <f t="shared" si="8"/>
        <v>0</v>
      </c>
      <c r="P101" s="73">
        <v>0</v>
      </c>
      <c r="Q101" s="73" t="s">
        <v>457</v>
      </c>
      <c r="S101" s="73">
        <v>0.47</v>
      </c>
      <c r="T101" s="73" t="s">
        <v>630</v>
      </c>
      <c r="U101" s="73">
        <v>9</v>
      </c>
      <c r="V101" s="73">
        <v>1</v>
      </c>
    </row>
    <row r="102" spans="1:22">
      <c r="A102" s="86">
        <v>73</v>
      </c>
      <c r="B102" s="74" t="s">
        <v>203</v>
      </c>
      <c r="C102" s="74" t="s">
        <v>190</v>
      </c>
      <c r="D102" s="74"/>
      <c r="E102" s="74" t="s">
        <v>243</v>
      </c>
      <c r="F102" s="86">
        <v>250</v>
      </c>
      <c r="G102" s="84">
        <f>CEILING(J102*K102,Настройки!$D$1)</f>
        <v>33.550000000000004</v>
      </c>
      <c r="H102" s="84">
        <f>CEILING(G102*Резка!$B$4,10)</f>
        <v>3360</v>
      </c>
      <c r="J102" s="73">
        <f t="shared" si="12"/>
        <v>20.955555555555556</v>
      </c>
      <c r="K102" s="84">
        <f>Настройки!$K$6</f>
        <v>1.6</v>
      </c>
      <c r="L102" s="73">
        <v>1</v>
      </c>
      <c r="M102" s="73">
        <v>0</v>
      </c>
      <c r="N102" s="73">
        <f t="shared" si="7"/>
        <v>0</v>
      </c>
      <c r="O102" s="73">
        <f t="shared" si="8"/>
        <v>0</v>
      </c>
      <c r="P102" s="73">
        <v>0</v>
      </c>
      <c r="Q102" s="73" t="s">
        <v>457</v>
      </c>
      <c r="S102" s="73">
        <v>1.64</v>
      </c>
      <c r="T102" s="73" t="s">
        <v>630</v>
      </c>
      <c r="U102" s="73">
        <v>9</v>
      </c>
      <c r="V102" s="73">
        <v>1</v>
      </c>
    </row>
    <row r="103" spans="1:22">
      <c r="A103" s="86">
        <v>74</v>
      </c>
      <c r="B103" s="74" t="s">
        <v>203</v>
      </c>
      <c r="C103" s="74" t="s">
        <v>190</v>
      </c>
      <c r="D103" s="74"/>
      <c r="E103" s="74" t="s">
        <v>244</v>
      </c>
      <c r="F103" s="86">
        <v>250</v>
      </c>
      <c r="G103" s="84">
        <f>CEILING(J103*K103,Настройки!$D$1)</f>
        <v>33.550000000000004</v>
      </c>
      <c r="H103" s="84">
        <f>CEILING(G103*Резка!$B$4,10)</f>
        <v>3360</v>
      </c>
      <c r="J103" s="73">
        <f t="shared" si="12"/>
        <v>20.955555555555556</v>
      </c>
      <c r="K103" s="84">
        <f>Настройки!$K$6</f>
        <v>1.6</v>
      </c>
      <c r="L103" s="73">
        <v>1</v>
      </c>
      <c r="M103" s="73">
        <v>0</v>
      </c>
      <c r="N103" s="73">
        <f t="shared" si="7"/>
        <v>0</v>
      </c>
      <c r="O103" s="73">
        <f t="shared" si="8"/>
        <v>0</v>
      </c>
      <c r="P103" s="73">
        <v>0</v>
      </c>
      <c r="Q103" s="73" t="s">
        <v>457</v>
      </c>
      <c r="S103" s="73">
        <v>1.64</v>
      </c>
      <c r="T103" s="73" t="s">
        <v>630</v>
      </c>
      <c r="U103" s="73">
        <v>9</v>
      </c>
      <c r="V103" s="73">
        <v>1</v>
      </c>
    </row>
    <row r="104" spans="1:22">
      <c r="A104" s="86">
        <v>75</v>
      </c>
      <c r="B104" s="74" t="s">
        <v>203</v>
      </c>
      <c r="C104" s="74" t="s">
        <v>190</v>
      </c>
      <c r="D104" s="74"/>
      <c r="E104" s="74" t="s">
        <v>245</v>
      </c>
      <c r="F104" s="86">
        <v>250</v>
      </c>
      <c r="G104" s="84">
        <f>CEILING(J104*K104,Настройки!$D$1)</f>
        <v>33.550000000000004</v>
      </c>
      <c r="H104" s="84">
        <f>CEILING(G104*Резка!$B$4,10)</f>
        <v>3360</v>
      </c>
      <c r="J104" s="73">
        <f t="shared" si="12"/>
        <v>20.955555555555556</v>
      </c>
      <c r="K104" s="84">
        <f>Настройки!$K$6</f>
        <v>1.6</v>
      </c>
      <c r="L104" s="73">
        <v>1</v>
      </c>
      <c r="M104" s="73">
        <v>0</v>
      </c>
      <c r="N104" s="73">
        <f t="shared" si="7"/>
        <v>0</v>
      </c>
      <c r="O104" s="73">
        <f t="shared" si="8"/>
        <v>0</v>
      </c>
      <c r="P104" s="73">
        <v>0</v>
      </c>
      <c r="Q104" s="73" t="s">
        <v>457</v>
      </c>
      <c r="S104" s="73">
        <v>1.64</v>
      </c>
      <c r="T104" s="73" t="s">
        <v>630</v>
      </c>
      <c r="U104" s="73">
        <v>9</v>
      </c>
      <c r="V104" s="73">
        <v>1</v>
      </c>
    </row>
    <row r="105" spans="1:22" ht="24">
      <c r="A105" s="86">
        <v>76</v>
      </c>
      <c r="B105" s="74" t="s">
        <v>246</v>
      </c>
      <c r="C105" s="74" t="s">
        <v>247</v>
      </c>
      <c r="D105" s="74"/>
      <c r="E105" s="74" t="s">
        <v>248</v>
      </c>
      <c r="F105" s="86">
        <v>350</v>
      </c>
      <c r="G105" s="84">
        <f>CEILING(J105*K105,Настройки!$D$1)</f>
        <v>49.900000000000006</v>
      </c>
      <c r="H105" s="84">
        <f>CEILING(G105*Резка!$B$4,10)</f>
        <v>4990</v>
      </c>
      <c r="J105" s="73">
        <f t="shared" si="12"/>
        <v>31.177777777777774</v>
      </c>
      <c r="K105" s="84">
        <f>Настройки!$K$6</f>
        <v>1.6</v>
      </c>
      <c r="L105" s="73">
        <v>1</v>
      </c>
      <c r="M105" s="73">
        <v>0</v>
      </c>
      <c r="N105" s="73">
        <f t="shared" si="7"/>
        <v>0</v>
      </c>
      <c r="O105" s="73">
        <f t="shared" si="8"/>
        <v>0</v>
      </c>
      <c r="P105" s="73">
        <v>0</v>
      </c>
      <c r="Q105" s="73" t="s">
        <v>457</v>
      </c>
      <c r="S105" s="73">
        <v>2.44</v>
      </c>
      <c r="T105" s="73" t="s">
        <v>630</v>
      </c>
      <c r="U105" s="73">
        <v>9</v>
      </c>
      <c r="V105" s="73">
        <v>1</v>
      </c>
    </row>
    <row r="106" spans="1:22" ht="15.75" customHeight="1">
      <c r="A106" s="86">
        <v>77</v>
      </c>
      <c r="B106" s="74" t="s">
        <v>246</v>
      </c>
      <c r="C106" s="74" t="s">
        <v>247</v>
      </c>
      <c r="D106" s="74"/>
      <c r="E106" s="74" t="s">
        <v>249</v>
      </c>
      <c r="F106" s="86">
        <v>300</v>
      </c>
      <c r="G106" s="84">
        <f>CEILING(J106*K106,Настройки!$D$1)</f>
        <v>36.6</v>
      </c>
      <c r="H106" s="84">
        <f>CEILING(G106*Резка!$B$4,10)</f>
        <v>3660</v>
      </c>
      <c r="J106" s="73">
        <f t="shared" si="12"/>
        <v>22.87222222222222</v>
      </c>
      <c r="K106" s="84">
        <f>Настройки!$K$6</f>
        <v>1.6</v>
      </c>
      <c r="L106" s="73">
        <v>1</v>
      </c>
      <c r="M106" s="73">
        <v>0</v>
      </c>
      <c r="N106" s="73">
        <f t="shared" si="7"/>
        <v>0</v>
      </c>
      <c r="O106" s="73">
        <f t="shared" si="8"/>
        <v>0</v>
      </c>
      <c r="P106" s="73">
        <v>0</v>
      </c>
      <c r="Q106" s="73" t="s">
        <v>457</v>
      </c>
      <c r="S106" s="73">
        <v>1.79</v>
      </c>
      <c r="T106" s="73" t="s">
        <v>630</v>
      </c>
      <c r="U106" s="73">
        <v>9</v>
      </c>
      <c r="V106" s="73">
        <v>1</v>
      </c>
    </row>
    <row r="107" spans="1:22" ht="15.75" customHeight="1">
      <c r="A107" s="86">
        <v>78</v>
      </c>
      <c r="B107" s="74" t="s">
        <v>246</v>
      </c>
      <c r="C107" s="74" t="s">
        <v>247</v>
      </c>
      <c r="D107" s="74"/>
      <c r="E107" s="74" t="s">
        <v>250</v>
      </c>
      <c r="F107" s="86">
        <v>300</v>
      </c>
      <c r="G107" s="84">
        <f>CEILING(J107*K107,Настройки!$D$1)</f>
        <v>36.6</v>
      </c>
      <c r="H107" s="84">
        <f>CEILING(G107*Резка!$B$4,10)</f>
        <v>3660</v>
      </c>
      <c r="J107" s="73">
        <f t="shared" si="12"/>
        <v>22.87222222222222</v>
      </c>
      <c r="K107" s="84">
        <f>Настройки!$K$6</f>
        <v>1.6</v>
      </c>
      <c r="L107" s="73">
        <v>1</v>
      </c>
      <c r="M107" s="73">
        <v>0</v>
      </c>
      <c r="N107" s="73">
        <f t="shared" si="7"/>
        <v>0</v>
      </c>
      <c r="O107" s="73">
        <f t="shared" si="8"/>
        <v>0</v>
      </c>
      <c r="P107" s="73">
        <v>0</v>
      </c>
      <c r="Q107" s="73" t="s">
        <v>457</v>
      </c>
      <c r="S107" s="73">
        <v>1.79</v>
      </c>
      <c r="T107" s="73" t="s">
        <v>630</v>
      </c>
      <c r="U107" s="73">
        <v>9</v>
      </c>
      <c r="V107" s="73">
        <v>1</v>
      </c>
    </row>
    <row r="108" spans="1:22">
      <c r="A108" s="86">
        <v>79</v>
      </c>
      <c r="B108" s="74" t="s">
        <v>251</v>
      </c>
      <c r="C108" s="74" t="s">
        <v>190</v>
      </c>
      <c r="D108" s="74"/>
      <c r="E108" s="74" t="s">
        <v>252</v>
      </c>
      <c r="F108" s="86">
        <v>290</v>
      </c>
      <c r="G108" s="84">
        <f>CEILING(J108*K108,Настройки!$D$1)</f>
        <v>41.550000000000004</v>
      </c>
      <c r="H108" s="84">
        <f>CEILING(G108*Резка!$B$4,10)</f>
        <v>4160</v>
      </c>
      <c r="J108" s="73">
        <f t="shared" si="12"/>
        <v>25.938888888888886</v>
      </c>
      <c r="K108" s="84">
        <f>Настройки!$K$6</f>
        <v>1.6</v>
      </c>
      <c r="L108" s="73">
        <v>1</v>
      </c>
      <c r="M108" s="73">
        <v>0</v>
      </c>
      <c r="N108" s="73">
        <f t="shared" si="7"/>
        <v>0</v>
      </c>
      <c r="O108" s="73">
        <f t="shared" si="8"/>
        <v>0</v>
      </c>
      <c r="P108" s="73">
        <v>0</v>
      </c>
      <c r="Q108" s="73" t="s">
        <v>457</v>
      </c>
      <c r="S108" s="73">
        <v>2.0299999999999998</v>
      </c>
      <c r="T108" s="73" t="s">
        <v>630</v>
      </c>
      <c r="U108" s="73">
        <v>9</v>
      </c>
      <c r="V108" s="73">
        <v>1</v>
      </c>
    </row>
    <row r="109" spans="1:22" ht="24">
      <c r="A109" s="86">
        <v>80</v>
      </c>
      <c r="B109" s="74" t="s">
        <v>251</v>
      </c>
      <c r="C109" s="74" t="s">
        <v>190</v>
      </c>
      <c r="D109" s="74"/>
      <c r="E109" s="74" t="s">
        <v>253</v>
      </c>
      <c r="F109" s="86">
        <v>290</v>
      </c>
      <c r="G109" s="84">
        <f>CEILING(J109*K109,Настройки!$D$1)</f>
        <v>41.550000000000004</v>
      </c>
      <c r="H109" s="84">
        <f>CEILING(G109*Резка!$B$4,10)</f>
        <v>4160</v>
      </c>
      <c r="J109" s="73">
        <f t="shared" si="12"/>
        <v>25.938888888888886</v>
      </c>
      <c r="K109" s="84">
        <f>Настройки!$K$6</f>
        <v>1.6</v>
      </c>
      <c r="L109" s="73">
        <v>1</v>
      </c>
      <c r="M109" s="73">
        <v>0</v>
      </c>
      <c r="N109" s="73">
        <f t="shared" si="7"/>
        <v>0</v>
      </c>
      <c r="O109" s="73">
        <f t="shared" si="8"/>
        <v>0</v>
      </c>
      <c r="P109" s="73">
        <v>0</v>
      </c>
      <c r="Q109" s="73" t="s">
        <v>457</v>
      </c>
      <c r="S109" s="73">
        <v>2.0299999999999998</v>
      </c>
      <c r="T109" s="73" t="s">
        <v>630</v>
      </c>
      <c r="U109" s="73">
        <v>9</v>
      </c>
      <c r="V109" s="73">
        <v>1</v>
      </c>
    </row>
    <row r="110" spans="1:22" ht="24">
      <c r="A110" s="86">
        <v>81</v>
      </c>
      <c r="B110" s="74" t="s">
        <v>251</v>
      </c>
      <c r="C110" s="74" t="s">
        <v>190</v>
      </c>
      <c r="D110" s="74"/>
      <c r="E110" s="74" t="s">
        <v>254</v>
      </c>
      <c r="F110" s="86">
        <v>290</v>
      </c>
      <c r="G110" s="84">
        <f>CEILING(J110*K110,Настройки!$D$1)</f>
        <v>41.550000000000004</v>
      </c>
      <c r="H110" s="84">
        <f>CEILING(G110*Резка!$B$4,10)</f>
        <v>4160</v>
      </c>
      <c r="J110" s="73">
        <f t="shared" si="12"/>
        <v>25.938888888888886</v>
      </c>
      <c r="K110" s="84">
        <f>Настройки!$K$6</f>
        <v>1.6</v>
      </c>
      <c r="L110" s="73">
        <v>1</v>
      </c>
      <c r="M110" s="73">
        <v>0</v>
      </c>
      <c r="N110" s="73">
        <f t="shared" si="7"/>
        <v>0</v>
      </c>
      <c r="O110" s="73">
        <f t="shared" si="8"/>
        <v>0</v>
      </c>
      <c r="P110" s="73">
        <v>0</v>
      </c>
      <c r="Q110" s="73" t="s">
        <v>457</v>
      </c>
      <c r="S110" s="73">
        <v>2.0299999999999998</v>
      </c>
      <c r="T110" s="73" t="s">
        <v>630</v>
      </c>
      <c r="U110" s="73">
        <v>9</v>
      </c>
      <c r="V110" s="73">
        <v>1</v>
      </c>
    </row>
    <row r="111" spans="1:22" ht="24">
      <c r="A111" s="86">
        <v>82</v>
      </c>
      <c r="B111" s="74" t="s">
        <v>251</v>
      </c>
      <c r="C111" s="74" t="s">
        <v>190</v>
      </c>
      <c r="D111" s="74"/>
      <c r="E111" s="74" t="s">
        <v>255</v>
      </c>
      <c r="F111" s="86">
        <v>290</v>
      </c>
      <c r="G111" s="84">
        <f>CEILING(J111*K111,Настройки!$D$1)</f>
        <v>41.550000000000004</v>
      </c>
      <c r="H111" s="84">
        <f>CEILING(G111*Резка!$B$4,10)</f>
        <v>4160</v>
      </c>
      <c r="J111" s="73">
        <f t="shared" si="12"/>
        <v>25.938888888888886</v>
      </c>
      <c r="K111" s="84">
        <f>Настройки!$K$6</f>
        <v>1.6</v>
      </c>
      <c r="L111" s="73">
        <v>1</v>
      </c>
      <c r="M111" s="73">
        <v>0</v>
      </c>
      <c r="N111" s="73">
        <f t="shared" si="7"/>
        <v>0</v>
      </c>
      <c r="O111" s="73">
        <f t="shared" si="8"/>
        <v>0</v>
      </c>
      <c r="P111" s="73">
        <v>0</v>
      </c>
      <c r="Q111" s="73" t="s">
        <v>457</v>
      </c>
      <c r="S111" s="73">
        <v>2.0299999999999998</v>
      </c>
      <c r="T111" s="73" t="s">
        <v>630</v>
      </c>
      <c r="U111" s="73">
        <v>9</v>
      </c>
      <c r="V111" s="73">
        <v>1</v>
      </c>
    </row>
    <row r="112" spans="1:22" ht="24">
      <c r="A112" s="86">
        <v>83</v>
      </c>
      <c r="B112" s="74" t="s">
        <v>251</v>
      </c>
      <c r="C112" s="74" t="s">
        <v>190</v>
      </c>
      <c r="D112" s="74"/>
      <c r="E112" s="74" t="s">
        <v>256</v>
      </c>
      <c r="F112" s="86">
        <v>290</v>
      </c>
      <c r="G112" s="84">
        <f>CEILING(J112*K112,Настройки!$D$1)</f>
        <v>41.550000000000004</v>
      </c>
      <c r="H112" s="84">
        <f>CEILING(G112*Резка!$B$4,10)</f>
        <v>4160</v>
      </c>
      <c r="J112" s="73">
        <f t="shared" si="12"/>
        <v>25.938888888888886</v>
      </c>
      <c r="K112" s="84">
        <f>Настройки!$K$6</f>
        <v>1.6</v>
      </c>
      <c r="L112" s="73">
        <v>1</v>
      </c>
      <c r="M112" s="73">
        <v>0</v>
      </c>
      <c r="N112" s="73">
        <f t="shared" si="7"/>
        <v>0</v>
      </c>
      <c r="O112" s="73">
        <f t="shared" si="8"/>
        <v>0</v>
      </c>
      <c r="P112" s="73">
        <v>0</v>
      </c>
      <c r="Q112" s="73" t="s">
        <v>457</v>
      </c>
      <c r="S112" s="73">
        <v>2.0299999999999998</v>
      </c>
      <c r="T112" s="73" t="s">
        <v>630</v>
      </c>
      <c r="U112" s="73">
        <v>9</v>
      </c>
      <c r="V112" s="73">
        <v>1</v>
      </c>
    </row>
    <row r="113" spans="1:22" ht="15.75" customHeight="1">
      <c r="A113" s="86">
        <v>84</v>
      </c>
      <c r="B113" s="85" t="s">
        <v>214</v>
      </c>
      <c r="C113" s="74" t="s">
        <v>188</v>
      </c>
      <c r="D113" s="74"/>
      <c r="E113" s="74" t="s">
        <v>257</v>
      </c>
      <c r="F113" s="86">
        <v>300</v>
      </c>
      <c r="G113" s="84">
        <f>CEILING(J113*K113,Настройки!$D$1)</f>
        <v>35.800000000000004</v>
      </c>
      <c r="H113" s="84">
        <f>CEILING(G113*Резка!$B$4,10)</f>
        <v>3580</v>
      </c>
      <c r="J113" s="73">
        <f t="shared" si="12"/>
        <v>22.361111111111111</v>
      </c>
      <c r="K113" s="84">
        <f>Настройки!$K$6</f>
        <v>1.6</v>
      </c>
      <c r="L113" s="73">
        <v>1</v>
      </c>
      <c r="M113" s="73">
        <v>0</v>
      </c>
      <c r="N113" s="73">
        <f t="shared" si="7"/>
        <v>0</v>
      </c>
      <c r="O113" s="73">
        <f t="shared" si="8"/>
        <v>0</v>
      </c>
      <c r="P113" s="73">
        <v>0</v>
      </c>
      <c r="Q113" s="73" t="s">
        <v>457</v>
      </c>
      <c r="S113" s="73">
        <v>1.75</v>
      </c>
      <c r="T113" s="73" t="s">
        <v>630</v>
      </c>
      <c r="U113" s="73">
        <v>9</v>
      </c>
      <c r="V113" s="73">
        <v>1</v>
      </c>
    </row>
    <row r="114" spans="1:22" ht="24">
      <c r="A114" s="86">
        <v>85</v>
      </c>
      <c r="B114" s="74" t="s">
        <v>258</v>
      </c>
      <c r="C114" s="74" t="s">
        <v>190</v>
      </c>
      <c r="D114" s="74"/>
      <c r="E114" s="74" t="s">
        <v>259</v>
      </c>
      <c r="F114" s="86">
        <v>280</v>
      </c>
      <c r="G114" s="84">
        <f>CEILING(J114*K114,Настройки!$D$1)</f>
        <v>42.95</v>
      </c>
      <c r="H114" s="84">
        <f>CEILING(G114*Резка!$B$4,10)</f>
        <v>4300</v>
      </c>
      <c r="J114" s="73">
        <f t="shared" si="12"/>
        <v>26.833333333333332</v>
      </c>
      <c r="K114" s="84">
        <f>Настройки!$K$6</f>
        <v>1.6</v>
      </c>
      <c r="L114" s="73">
        <v>1</v>
      </c>
      <c r="M114" s="73">
        <v>0</v>
      </c>
      <c r="N114" s="73">
        <f t="shared" si="7"/>
        <v>0</v>
      </c>
      <c r="O114" s="73">
        <f t="shared" si="8"/>
        <v>0</v>
      </c>
      <c r="P114" s="73">
        <v>0</v>
      </c>
      <c r="Q114" s="73" t="s">
        <v>457</v>
      </c>
      <c r="S114" s="73">
        <v>2.1</v>
      </c>
      <c r="T114" s="73" t="s">
        <v>630</v>
      </c>
      <c r="U114" s="73">
        <v>9</v>
      </c>
      <c r="V114" s="73">
        <v>1</v>
      </c>
    </row>
    <row r="115" spans="1:22" ht="24">
      <c r="A115" s="86">
        <v>86</v>
      </c>
      <c r="B115" s="74" t="s">
        <v>258</v>
      </c>
      <c r="C115" s="74" t="s">
        <v>190</v>
      </c>
      <c r="D115" s="74"/>
      <c r="E115" s="74" t="s">
        <v>260</v>
      </c>
      <c r="F115" s="86">
        <v>280</v>
      </c>
      <c r="G115" s="84">
        <f>CEILING(J115*K115,Настройки!$D$1)</f>
        <v>42.95</v>
      </c>
      <c r="H115" s="84">
        <f>CEILING(G115*Резка!$B$4,10)</f>
        <v>4300</v>
      </c>
      <c r="J115" s="73">
        <f t="shared" si="12"/>
        <v>26.833333333333332</v>
      </c>
      <c r="K115" s="84">
        <f>Настройки!$K$6</f>
        <v>1.6</v>
      </c>
      <c r="L115" s="73">
        <v>1</v>
      </c>
      <c r="M115" s="73">
        <v>0</v>
      </c>
      <c r="N115" s="73">
        <f t="shared" si="7"/>
        <v>0</v>
      </c>
      <c r="O115" s="73">
        <f t="shared" si="8"/>
        <v>0</v>
      </c>
      <c r="P115" s="73">
        <v>0</v>
      </c>
      <c r="Q115" s="73" t="s">
        <v>457</v>
      </c>
      <c r="S115" s="73">
        <v>2.1</v>
      </c>
      <c r="T115" s="73" t="s">
        <v>630</v>
      </c>
      <c r="U115" s="73">
        <v>9</v>
      </c>
      <c r="V115" s="73">
        <v>1</v>
      </c>
    </row>
    <row r="116" spans="1:22">
      <c r="A116" s="86">
        <v>87</v>
      </c>
      <c r="B116" s="74" t="s">
        <v>261</v>
      </c>
      <c r="C116" s="74" t="s">
        <v>262</v>
      </c>
      <c r="D116" s="74"/>
      <c r="E116" s="74" t="s">
        <v>249</v>
      </c>
      <c r="F116" s="86">
        <v>270</v>
      </c>
      <c r="G116" s="84">
        <f>CEILING(J116*K116,Настройки!$D$1)</f>
        <v>29.450000000000003</v>
      </c>
      <c r="H116" s="84">
        <f>CEILING(G116*Резка!$B$4,10)</f>
        <v>2950</v>
      </c>
      <c r="J116" s="73">
        <f t="shared" si="12"/>
        <v>18.399999999999999</v>
      </c>
      <c r="K116" s="84">
        <f>Настройки!$K$6</f>
        <v>1.6</v>
      </c>
      <c r="L116" s="73">
        <v>1</v>
      </c>
      <c r="M116" s="73">
        <v>0</v>
      </c>
      <c r="N116" s="73">
        <f t="shared" ref="N116:N128" si="16">M116</f>
        <v>0</v>
      </c>
      <c r="O116" s="73">
        <f t="shared" ref="O116:O133" si="17">M116</f>
        <v>0</v>
      </c>
      <c r="P116" s="73">
        <v>0</v>
      </c>
      <c r="Q116" s="73" t="s">
        <v>457</v>
      </c>
      <c r="S116" s="73">
        <v>1.44</v>
      </c>
      <c r="T116" s="73" t="s">
        <v>630</v>
      </c>
      <c r="U116" s="73">
        <v>9</v>
      </c>
      <c r="V116" s="73">
        <v>1</v>
      </c>
    </row>
    <row r="117" spans="1:22">
      <c r="A117" s="86">
        <v>88</v>
      </c>
      <c r="B117" s="74" t="s">
        <v>261</v>
      </c>
      <c r="C117" s="74" t="s">
        <v>262</v>
      </c>
      <c r="D117" s="74"/>
      <c r="E117" s="74" t="s">
        <v>263</v>
      </c>
      <c r="F117" s="86">
        <v>270</v>
      </c>
      <c r="G117" s="84">
        <f>CEILING(J117*K117,Настройки!$D$1)</f>
        <v>29.450000000000003</v>
      </c>
      <c r="H117" s="84">
        <f>CEILING(G117*Резка!$B$4,10)</f>
        <v>2950</v>
      </c>
      <c r="J117" s="73">
        <f t="shared" si="12"/>
        <v>18.399999999999999</v>
      </c>
      <c r="K117" s="84">
        <f>Настройки!$K$6</f>
        <v>1.6</v>
      </c>
      <c r="L117" s="73">
        <v>1</v>
      </c>
      <c r="M117" s="73">
        <v>0</v>
      </c>
      <c r="N117" s="73">
        <f t="shared" si="16"/>
        <v>0</v>
      </c>
      <c r="O117" s="73">
        <f t="shared" si="17"/>
        <v>0</v>
      </c>
      <c r="P117" s="73">
        <v>0</v>
      </c>
      <c r="Q117" s="73" t="s">
        <v>457</v>
      </c>
      <c r="S117" s="73">
        <v>1.44</v>
      </c>
      <c r="T117" s="73" t="s">
        <v>630</v>
      </c>
      <c r="U117" s="73">
        <v>9</v>
      </c>
      <c r="V117" s="73">
        <v>1</v>
      </c>
    </row>
    <row r="118" spans="1:22" ht="15.75" customHeight="1">
      <c r="A118" s="86">
        <v>89</v>
      </c>
      <c r="B118" s="74" t="s">
        <v>246</v>
      </c>
      <c r="C118" s="74" t="s">
        <v>247</v>
      </c>
      <c r="D118" s="74"/>
      <c r="E118" s="74" t="s">
        <v>264</v>
      </c>
      <c r="F118" s="86">
        <v>300</v>
      </c>
      <c r="G118" s="84">
        <f>CEILING(J118*K118,Настройки!$D$1)</f>
        <v>48.050000000000004</v>
      </c>
      <c r="H118" s="84">
        <f>CEILING(G118*Резка!$B$4,10)</f>
        <v>4810</v>
      </c>
      <c r="J118" s="73">
        <f t="shared" si="12"/>
        <v>30.027777777777779</v>
      </c>
      <c r="K118" s="84">
        <f>Настройки!$K$6</f>
        <v>1.6</v>
      </c>
      <c r="L118" s="73">
        <v>1</v>
      </c>
      <c r="M118" s="73">
        <v>0</v>
      </c>
      <c r="N118" s="73">
        <f t="shared" si="16"/>
        <v>0</v>
      </c>
      <c r="O118" s="73">
        <f t="shared" si="17"/>
        <v>0</v>
      </c>
      <c r="P118" s="73">
        <v>0</v>
      </c>
      <c r="Q118" s="73" t="s">
        <v>457</v>
      </c>
      <c r="S118" s="73">
        <v>2.35</v>
      </c>
      <c r="T118" s="73" t="s">
        <v>630</v>
      </c>
      <c r="U118" s="73">
        <v>9</v>
      </c>
      <c r="V118" s="73">
        <v>1</v>
      </c>
    </row>
    <row r="119" spans="1:22" ht="15.75" customHeight="1">
      <c r="A119" s="86">
        <v>90</v>
      </c>
      <c r="B119" s="74" t="s">
        <v>246</v>
      </c>
      <c r="C119" s="74" t="s">
        <v>247</v>
      </c>
      <c r="D119" s="74"/>
      <c r="E119" s="74" t="s">
        <v>265</v>
      </c>
      <c r="F119" s="86">
        <v>300</v>
      </c>
      <c r="G119" s="84">
        <f>CEILING(J119*K119,Настройки!$D$1)</f>
        <v>48.050000000000004</v>
      </c>
      <c r="H119" s="84">
        <f>CEILING(G119*Резка!$B$4,10)</f>
        <v>4810</v>
      </c>
      <c r="J119" s="73">
        <f t="shared" si="12"/>
        <v>30.027777777777779</v>
      </c>
      <c r="K119" s="84">
        <f>Настройки!$K$6</f>
        <v>1.6</v>
      </c>
      <c r="L119" s="73">
        <v>1</v>
      </c>
      <c r="M119" s="73">
        <v>0</v>
      </c>
      <c r="N119" s="73">
        <f t="shared" si="16"/>
        <v>0</v>
      </c>
      <c r="O119" s="73">
        <f t="shared" si="17"/>
        <v>0</v>
      </c>
      <c r="P119" s="73">
        <v>0</v>
      </c>
      <c r="Q119" s="73" t="s">
        <v>457</v>
      </c>
      <c r="S119" s="73">
        <v>2.35</v>
      </c>
      <c r="T119" s="73" t="s">
        <v>630</v>
      </c>
      <c r="U119" s="73">
        <v>9</v>
      </c>
      <c r="V119" s="73">
        <v>1</v>
      </c>
    </row>
    <row r="120" spans="1:22" ht="15.75" customHeight="1">
      <c r="A120" s="86">
        <v>91</v>
      </c>
      <c r="B120" s="74" t="s">
        <v>246</v>
      </c>
      <c r="C120" s="74" t="s">
        <v>247</v>
      </c>
      <c r="D120" s="74"/>
      <c r="E120" s="74" t="s">
        <v>266</v>
      </c>
      <c r="F120" s="86">
        <v>300</v>
      </c>
      <c r="G120" s="84">
        <f>CEILING(J120*K120,Настройки!$D$1)</f>
        <v>48.050000000000004</v>
      </c>
      <c r="H120" s="84">
        <f>CEILING(G120*Резка!$B$4,10)</f>
        <v>4810</v>
      </c>
      <c r="J120" s="73">
        <f t="shared" si="12"/>
        <v>30.027777777777779</v>
      </c>
      <c r="K120" s="84">
        <f>Настройки!$K$6</f>
        <v>1.6</v>
      </c>
      <c r="L120" s="73">
        <v>1</v>
      </c>
      <c r="M120" s="73">
        <v>0</v>
      </c>
      <c r="N120" s="73">
        <f t="shared" si="16"/>
        <v>0</v>
      </c>
      <c r="O120" s="73">
        <f t="shared" si="17"/>
        <v>0</v>
      </c>
      <c r="P120" s="73">
        <v>0</v>
      </c>
      <c r="Q120" s="73" t="s">
        <v>457</v>
      </c>
      <c r="S120" s="73">
        <v>2.35</v>
      </c>
      <c r="T120" s="73" t="s">
        <v>630</v>
      </c>
      <c r="U120" s="73">
        <v>9</v>
      </c>
      <c r="V120" s="73">
        <v>1</v>
      </c>
    </row>
    <row r="121" spans="1:22">
      <c r="A121" s="86">
        <v>92</v>
      </c>
      <c r="B121" s="74" t="s">
        <v>258</v>
      </c>
      <c r="C121" s="74" t="s">
        <v>190</v>
      </c>
      <c r="D121" s="74"/>
      <c r="E121" s="74" t="s">
        <v>267</v>
      </c>
      <c r="F121" s="86">
        <v>280</v>
      </c>
      <c r="G121" s="84">
        <f>CEILING(J121*K121,Настройки!$D$1)</f>
        <v>35.800000000000004</v>
      </c>
      <c r="H121" s="84">
        <f>CEILING(G121*Резка!$B$4,10)</f>
        <v>3580</v>
      </c>
      <c r="J121" s="73">
        <f t="shared" si="12"/>
        <v>22.361111111111111</v>
      </c>
      <c r="K121" s="84">
        <f>Настройки!$K$6</f>
        <v>1.6</v>
      </c>
      <c r="L121" s="73">
        <v>1</v>
      </c>
      <c r="M121" s="73">
        <v>0</v>
      </c>
      <c r="N121" s="73">
        <f t="shared" si="16"/>
        <v>0</v>
      </c>
      <c r="O121" s="73">
        <f t="shared" si="17"/>
        <v>0</v>
      </c>
      <c r="P121" s="73">
        <v>0</v>
      </c>
      <c r="Q121" s="73" t="s">
        <v>457</v>
      </c>
      <c r="S121" s="73">
        <v>1.75</v>
      </c>
      <c r="T121" s="73" t="s">
        <v>630</v>
      </c>
      <c r="U121" s="73">
        <v>9</v>
      </c>
      <c r="V121" s="73">
        <v>1</v>
      </c>
    </row>
    <row r="122" spans="1:22">
      <c r="A122" s="86">
        <v>93</v>
      </c>
      <c r="B122" s="74" t="s">
        <v>268</v>
      </c>
      <c r="C122" s="74" t="s">
        <v>269</v>
      </c>
      <c r="D122" s="74"/>
      <c r="E122" s="74" t="s">
        <v>225</v>
      </c>
      <c r="F122" s="86">
        <v>260</v>
      </c>
      <c r="G122" s="84">
        <f>CEILING(J122*K122,Настройки!$D$1)</f>
        <v>39.5</v>
      </c>
      <c r="H122" s="84">
        <f>CEILING(G122*Резка!$B$4,10)</f>
        <v>3950</v>
      </c>
      <c r="J122" s="73">
        <f t="shared" si="12"/>
        <v>24.661111111111111</v>
      </c>
      <c r="K122" s="84">
        <f>Настройки!$K$6</f>
        <v>1.6</v>
      </c>
      <c r="L122" s="73">
        <v>1</v>
      </c>
      <c r="M122" s="73">
        <v>0</v>
      </c>
      <c r="N122" s="73">
        <f t="shared" si="16"/>
        <v>0</v>
      </c>
      <c r="O122" s="73">
        <f t="shared" si="17"/>
        <v>0</v>
      </c>
      <c r="P122" s="73">
        <v>0</v>
      </c>
      <c r="Q122" s="73" t="s">
        <v>457</v>
      </c>
      <c r="S122" s="73">
        <v>1.93</v>
      </c>
      <c r="T122" s="73" t="s">
        <v>630</v>
      </c>
      <c r="U122" s="73">
        <v>9</v>
      </c>
      <c r="V122" s="73">
        <v>1</v>
      </c>
    </row>
    <row r="123" spans="1:22" ht="24">
      <c r="A123" s="86">
        <v>94</v>
      </c>
      <c r="B123" s="74" t="s">
        <v>210</v>
      </c>
      <c r="C123" s="74" t="s">
        <v>190</v>
      </c>
      <c r="D123" s="74"/>
      <c r="E123" s="74" t="s">
        <v>576</v>
      </c>
      <c r="F123" s="86">
        <v>250</v>
      </c>
      <c r="G123" s="84">
        <f>CEILING(J123*K123,Настройки!$D$1)</f>
        <v>42.35</v>
      </c>
      <c r="H123" s="84">
        <f>CEILING(G123*Резка!$B$4,10)</f>
        <v>4240</v>
      </c>
      <c r="J123" s="73">
        <f>IF(T123=$S$28,S123*$T$28/U123,IF(T123=$S$29,S123*$T$29/U123,S123/U123))</f>
        <v>26.45</v>
      </c>
      <c r="K123" s="84">
        <f>Настройки!$K$6</f>
        <v>1.6</v>
      </c>
      <c r="L123" s="73">
        <v>1</v>
      </c>
      <c r="M123" s="73">
        <v>0</v>
      </c>
      <c r="N123" s="73">
        <f t="shared" si="16"/>
        <v>0</v>
      </c>
      <c r="O123" s="73">
        <f t="shared" si="17"/>
        <v>0</v>
      </c>
      <c r="P123" s="73">
        <v>0</v>
      </c>
      <c r="Q123" s="73" t="s">
        <v>457</v>
      </c>
      <c r="S123" s="73">
        <v>2.0699999999999998</v>
      </c>
      <c r="T123" s="73" t="s">
        <v>630</v>
      </c>
      <c r="U123" s="73">
        <v>9</v>
      </c>
      <c r="V123" s="73">
        <v>1</v>
      </c>
    </row>
    <row r="124" spans="1:22" ht="24.75" customHeight="1">
      <c r="A124" s="86">
        <v>95</v>
      </c>
      <c r="B124" s="74" t="s">
        <v>270</v>
      </c>
      <c r="C124" s="74"/>
      <c r="D124" s="74" t="s">
        <v>271</v>
      </c>
      <c r="E124" s="74" t="s">
        <v>272</v>
      </c>
      <c r="F124" s="86">
        <v>300</v>
      </c>
      <c r="G124" s="84">
        <f>CEILING(J124*K124,Настройки!$D$1)</f>
        <v>81.800000000000011</v>
      </c>
      <c r="H124" s="84">
        <f>CEILING(G124*Резка!$B$4,10)</f>
        <v>8180</v>
      </c>
      <c r="J124" s="73">
        <f t="shared" ref="J124:J154" si="18">IF(T124=$S$28,S124*$T$28/U124,IF(T124=$S$29,S124*$T$29/U124,S124/U124))</f>
        <v>51.111111111111114</v>
      </c>
      <c r="K124" s="84">
        <f>Настройки!$K$6</f>
        <v>1.6</v>
      </c>
      <c r="L124" s="73">
        <v>1</v>
      </c>
      <c r="M124" s="73">
        <v>0</v>
      </c>
      <c r="N124" s="73">
        <f t="shared" si="16"/>
        <v>0</v>
      </c>
      <c r="O124" s="73">
        <f t="shared" si="17"/>
        <v>0</v>
      </c>
      <c r="P124" s="73">
        <v>0</v>
      </c>
      <c r="Q124" s="73" t="s">
        <v>457</v>
      </c>
      <c r="S124" s="73">
        <v>4</v>
      </c>
      <c r="T124" s="73" t="s">
        <v>630</v>
      </c>
      <c r="U124" s="73">
        <v>9</v>
      </c>
      <c r="V124" s="73">
        <v>1</v>
      </c>
    </row>
    <row r="125" spans="1:22" ht="24.75" customHeight="1">
      <c r="A125" s="86">
        <v>96</v>
      </c>
      <c r="B125" s="74" t="s">
        <v>273</v>
      </c>
      <c r="C125" s="74"/>
      <c r="D125" s="74" t="s">
        <v>274</v>
      </c>
      <c r="E125" s="74" t="s">
        <v>191</v>
      </c>
      <c r="F125" s="86">
        <v>300</v>
      </c>
      <c r="G125" s="84">
        <f>CEILING(J125*K125,Настройки!$D$1)</f>
        <v>81.800000000000011</v>
      </c>
      <c r="H125" s="84">
        <f>CEILING(G125*Резка!$B$4,10)</f>
        <v>8180</v>
      </c>
      <c r="J125" s="73">
        <f t="shared" si="18"/>
        <v>51.111111111111114</v>
      </c>
      <c r="K125" s="84">
        <f>Настройки!$K$6</f>
        <v>1.6</v>
      </c>
      <c r="L125" s="73">
        <v>1</v>
      </c>
      <c r="M125" s="73">
        <v>0</v>
      </c>
      <c r="N125" s="73">
        <f t="shared" si="16"/>
        <v>0</v>
      </c>
      <c r="O125" s="73">
        <f t="shared" si="17"/>
        <v>0</v>
      </c>
      <c r="P125" s="73">
        <v>0</v>
      </c>
      <c r="Q125" s="73" t="s">
        <v>457</v>
      </c>
      <c r="S125" s="73">
        <v>4</v>
      </c>
      <c r="T125" s="73" t="s">
        <v>630</v>
      </c>
      <c r="U125" s="73">
        <v>9</v>
      </c>
      <c r="V125" s="73">
        <v>1</v>
      </c>
    </row>
    <row r="126" spans="1:22" ht="24.75" customHeight="1">
      <c r="A126" s="86">
        <v>97</v>
      </c>
      <c r="B126" s="74" t="s">
        <v>275</v>
      </c>
      <c r="C126" s="74"/>
      <c r="D126" s="74" t="s">
        <v>274</v>
      </c>
      <c r="E126" s="74" t="s">
        <v>257</v>
      </c>
      <c r="F126" s="86">
        <v>310</v>
      </c>
      <c r="G126" s="84">
        <f>CEILING(J126*K126,Настройки!$D$1)</f>
        <v>81.800000000000011</v>
      </c>
      <c r="H126" s="84">
        <f>CEILING(G126*Резка!$B$4,10)</f>
        <v>8180</v>
      </c>
      <c r="J126" s="73">
        <f t="shared" si="18"/>
        <v>51.111111111111114</v>
      </c>
      <c r="K126" s="84">
        <f>Настройки!$K$6</f>
        <v>1.6</v>
      </c>
      <c r="L126" s="73">
        <v>1</v>
      </c>
      <c r="M126" s="73">
        <v>0</v>
      </c>
      <c r="N126" s="73">
        <f t="shared" si="16"/>
        <v>0</v>
      </c>
      <c r="O126" s="73">
        <f t="shared" si="17"/>
        <v>0</v>
      </c>
      <c r="P126" s="73">
        <v>0</v>
      </c>
      <c r="Q126" s="73" t="s">
        <v>457</v>
      </c>
      <c r="S126" s="73">
        <v>4</v>
      </c>
      <c r="T126" s="73" t="s">
        <v>630</v>
      </c>
      <c r="U126" s="73">
        <v>9</v>
      </c>
      <c r="V126" s="73">
        <v>1</v>
      </c>
    </row>
    <row r="127" spans="1:22" ht="24.75" customHeight="1">
      <c r="A127" s="86">
        <v>98</v>
      </c>
      <c r="B127" s="74" t="s">
        <v>276</v>
      </c>
      <c r="C127" s="74"/>
      <c r="D127" s="74" t="s">
        <v>274</v>
      </c>
      <c r="E127" s="74" t="s">
        <v>272</v>
      </c>
      <c r="F127" s="86">
        <v>300</v>
      </c>
      <c r="G127" s="84">
        <f>CEILING(J127*K127,Настройки!$D$1)</f>
        <v>81.800000000000011</v>
      </c>
      <c r="H127" s="84">
        <f>CEILING(G127*Резка!$B$4,10)</f>
        <v>8180</v>
      </c>
      <c r="J127" s="73">
        <f t="shared" si="18"/>
        <v>51.111111111111114</v>
      </c>
      <c r="K127" s="84">
        <f>Настройки!$K$6</f>
        <v>1.6</v>
      </c>
      <c r="L127" s="73">
        <v>1</v>
      </c>
      <c r="M127" s="73">
        <v>0</v>
      </c>
      <c r="N127" s="73">
        <f t="shared" si="16"/>
        <v>0</v>
      </c>
      <c r="O127" s="73">
        <f t="shared" si="17"/>
        <v>0</v>
      </c>
      <c r="P127" s="73">
        <v>0</v>
      </c>
      <c r="Q127" s="73" t="s">
        <v>457</v>
      </c>
      <c r="S127" s="73">
        <v>4</v>
      </c>
      <c r="T127" s="73" t="s">
        <v>630</v>
      </c>
      <c r="U127" s="73">
        <v>9</v>
      </c>
      <c r="V127" s="73">
        <v>1</v>
      </c>
    </row>
    <row r="128" spans="1:22" ht="24">
      <c r="A128" s="86">
        <v>99</v>
      </c>
      <c r="B128" s="88" t="s">
        <v>298</v>
      </c>
      <c r="E128" s="74" t="s">
        <v>304</v>
      </c>
      <c r="F128" s="73">
        <v>150</v>
      </c>
      <c r="G128" s="84">
        <f>CEILING(J128*K128,Настройки!$D$1)</f>
        <v>20.450000000000003</v>
      </c>
      <c r="H128" s="84">
        <f>CEILING(G128*Резка!$B$4,10)</f>
        <v>2050</v>
      </c>
      <c r="J128" s="73">
        <f t="shared" si="18"/>
        <v>12.777777777777779</v>
      </c>
      <c r="K128" s="84">
        <f>Настройки!$K$6</f>
        <v>1.6</v>
      </c>
      <c r="L128" s="73">
        <v>1</v>
      </c>
      <c r="M128" s="73">
        <v>0</v>
      </c>
      <c r="N128" s="73">
        <f t="shared" si="16"/>
        <v>0</v>
      </c>
      <c r="O128" s="73">
        <f t="shared" si="17"/>
        <v>0</v>
      </c>
      <c r="P128" s="73">
        <v>0</v>
      </c>
      <c r="Q128" s="73" t="s">
        <v>458</v>
      </c>
      <c r="S128" s="73">
        <v>1</v>
      </c>
      <c r="T128" s="73" t="s">
        <v>630</v>
      </c>
      <c r="U128" s="73">
        <v>9</v>
      </c>
      <c r="V128" s="73">
        <v>1</v>
      </c>
    </row>
    <row r="129" spans="1:22">
      <c r="A129" s="86">
        <v>100</v>
      </c>
      <c r="B129" s="73" t="s">
        <v>299</v>
      </c>
      <c r="E129" s="74" t="s">
        <v>272</v>
      </c>
      <c r="F129" s="73">
        <v>80</v>
      </c>
      <c r="G129" s="84">
        <f>CEILING(J129*K129,Настройки!$D$1)</f>
        <v>1.4500000000000002</v>
      </c>
      <c r="J129" s="73">
        <f t="shared" si="18"/>
        <v>0.88</v>
      </c>
      <c r="K129" s="84">
        <f>Настройки!$K$6</f>
        <v>1.6</v>
      </c>
      <c r="L129" s="73">
        <v>1</v>
      </c>
      <c r="M129" s="73">
        <v>0</v>
      </c>
      <c r="N129" s="73">
        <v>1</v>
      </c>
      <c r="O129" s="73">
        <f t="shared" si="17"/>
        <v>0</v>
      </c>
      <c r="P129" s="73">
        <v>0</v>
      </c>
      <c r="Q129" s="73" t="s">
        <v>458</v>
      </c>
      <c r="S129" s="73">
        <v>880</v>
      </c>
      <c r="T129" s="73" t="s">
        <v>631</v>
      </c>
      <c r="U129" s="73">
        <v>1000</v>
      </c>
      <c r="V129" s="73">
        <v>1</v>
      </c>
    </row>
    <row r="130" spans="1:22" ht="15.75" customHeight="1">
      <c r="A130" s="84">
        <v>101</v>
      </c>
      <c r="B130" s="85" t="s">
        <v>185</v>
      </c>
      <c r="C130" s="85" t="s">
        <v>186</v>
      </c>
      <c r="D130" s="85"/>
      <c r="E130" s="85" t="s">
        <v>272</v>
      </c>
      <c r="F130" s="84">
        <v>160</v>
      </c>
      <c r="G130" s="84">
        <f>CEILING(J130*K130,Настройки!$D$1)</f>
        <v>19.200000000000003</v>
      </c>
      <c r="H130" s="84">
        <f>CEILING(G130*Резка!$B$4,10)</f>
        <v>1920</v>
      </c>
      <c r="J130" s="73">
        <f t="shared" si="18"/>
        <v>12</v>
      </c>
      <c r="K130" s="84">
        <f>Настройки!$K$6</f>
        <v>1.6</v>
      </c>
      <c r="L130" s="73">
        <v>1</v>
      </c>
      <c r="M130" s="73">
        <v>1</v>
      </c>
      <c r="N130" s="73">
        <f>M130</f>
        <v>1</v>
      </c>
      <c r="O130" s="73">
        <f t="shared" si="17"/>
        <v>1</v>
      </c>
      <c r="P130" s="73">
        <v>0</v>
      </c>
      <c r="Q130" s="73" t="s">
        <v>457</v>
      </c>
      <c r="S130" s="73">
        <v>6000</v>
      </c>
      <c r="T130" s="73" t="s">
        <v>631</v>
      </c>
      <c r="U130" s="73">
        <v>500</v>
      </c>
      <c r="V130" s="73">
        <v>1</v>
      </c>
    </row>
    <row r="131" spans="1:22" ht="15.75" customHeight="1">
      <c r="A131" s="86">
        <v>102</v>
      </c>
      <c r="B131" s="74" t="s">
        <v>1394</v>
      </c>
      <c r="C131" s="87" t="s">
        <v>300</v>
      </c>
      <c r="D131" s="87"/>
      <c r="E131" s="87" t="s">
        <v>272</v>
      </c>
      <c r="F131" s="86">
        <v>150</v>
      </c>
      <c r="G131" s="84">
        <f>CEILING(J131*K131,Настройки!$D$1)</f>
        <v>3.4000000000000004</v>
      </c>
      <c r="H131" s="84">
        <f>CEILING(G131*Резка!$B$4,10)</f>
        <v>340</v>
      </c>
      <c r="J131" s="73">
        <f t="shared" si="18"/>
        <v>2.1</v>
      </c>
      <c r="K131" s="84">
        <f>Настройки!$K$6</f>
        <v>1.6</v>
      </c>
      <c r="L131" s="73">
        <v>1</v>
      </c>
      <c r="M131" s="73">
        <v>1</v>
      </c>
      <c r="N131" s="73">
        <f>M131</f>
        <v>1</v>
      </c>
      <c r="O131" s="73">
        <f t="shared" si="17"/>
        <v>1</v>
      </c>
      <c r="P131" s="73">
        <v>0</v>
      </c>
      <c r="Q131" s="73" t="s">
        <v>458</v>
      </c>
      <c r="S131" s="73">
        <v>1050</v>
      </c>
      <c r="T131" s="73" t="s">
        <v>631</v>
      </c>
      <c r="U131" s="73">
        <v>500</v>
      </c>
      <c r="V131" s="73">
        <v>1</v>
      </c>
    </row>
    <row r="132" spans="1:22">
      <c r="A132" s="73">
        <v>104</v>
      </c>
      <c r="B132" s="73" t="s">
        <v>1225</v>
      </c>
      <c r="C132" s="73" t="s">
        <v>330</v>
      </c>
      <c r="E132" s="73" t="s">
        <v>331</v>
      </c>
      <c r="F132" s="73">
        <v>180</v>
      </c>
      <c r="G132" s="84">
        <f>CEILING(J132*K132,Настройки!$D$1)</f>
        <v>21.6</v>
      </c>
      <c r="H132" s="84">
        <f>CEILING(G132*Резка!$B$4,10)</f>
        <v>2160</v>
      </c>
      <c r="J132" s="73">
        <f t="shared" si="18"/>
        <v>13.5</v>
      </c>
      <c r="K132" s="84">
        <f>Настройки!$K$6</f>
        <v>1.6</v>
      </c>
      <c r="L132" s="73">
        <v>1</v>
      </c>
      <c r="M132" s="73">
        <v>1</v>
      </c>
      <c r="N132" s="73">
        <f>M132</f>
        <v>1</v>
      </c>
      <c r="O132" s="73">
        <f t="shared" si="17"/>
        <v>1</v>
      </c>
      <c r="P132" s="73">
        <v>1</v>
      </c>
      <c r="Q132" s="73" t="s">
        <v>93</v>
      </c>
      <c r="S132" s="73">
        <v>6750</v>
      </c>
      <c r="T132" s="73" t="s">
        <v>631</v>
      </c>
      <c r="U132" s="73">
        <v>500</v>
      </c>
      <c r="V132" s="73">
        <v>1</v>
      </c>
    </row>
    <row r="133" spans="1:22">
      <c r="A133" s="73">
        <v>105</v>
      </c>
      <c r="B133" s="74" t="s">
        <v>219</v>
      </c>
      <c r="C133" s="74" t="s">
        <v>207</v>
      </c>
      <c r="D133" s="74"/>
      <c r="E133" s="74" t="s">
        <v>263</v>
      </c>
      <c r="F133" s="86">
        <v>301</v>
      </c>
      <c r="G133" s="84">
        <f>CEILING(J133*K133,Настройки!$D$1)</f>
        <v>95.800000000000011</v>
      </c>
      <c r="H133" s="84">
        <f>CEILING(G133*Резка!$B$4,10)</f>
        <v>9580</v>
      </c>
      <c r="J133" s="73">
        <f t="shared" si="18"/>
        <v>59.857777777777784</v>
      </c>
      <c r="K133" s="84">
        <f>Настройки!$K$6</f>
        <v>1.6</v>
      </c>
      <c r="L133" s="73">
        <v>1</v>
      </c>
      <c r="M133" s="73">
        <v>0</v>
      </c>
      <c r="N133" s="73">
        <f>M133</f>
        <v>0</v>
      </c>
      <c r="O133" s="73">
        <f t="shared" si="17"/>
        <v>0</v>
      </c>
      <c r="P133" s="73">
        <v>0</v>
      </c>
      <c r="Q133" s="73" t="s">
        <v>457</v>
      </c>
      <c r="S133" s="73">
        <v>5.18</v>
      </c>
      <c r="T133" s="73" t="s">
        <v>632</v>
      </c>
      <c r="U133" s="73">
        <v>9</v>
      </c>
      <c r="V133" s="73">
        <v>1</v>
      </c>
    </row>
    <row r="134" spans="1:22">
      <c r="A134" s="73">
        <v>106</v>
      </c>
      <c r="B134" s="74" t="s">
        <v>219</v>
      </c>
      <c r="C134" s="74" t="s">
        <v>207</v>
      </c>
      <c r="D134" s="74"/>
      <c r="E134" s="73" t="s">
        <v>488</v>
      </c>
      <c r="F134" s="73">
        <v>301</v>
      </c>
      <c r="G134" s="84">
        <f>CEILING(J134*K134,Настройки!$D$1)</f>
        <v>95.800000000000011</v>
      </c>
      <c r="H134" s="84">
        <f>CEILING(G134*Резка!$B$4,10)</f>
        <v>9580</v>
      </c>
      <c r="J134" s="73">
        <f t="shared" si="18"/>
        <v>59.857777777777784</v>
      </c>
      <c r="K134" s="84">
        <f>Настройки!$K$6</f>
        <v>1.6</v>
      </c>
      <c r="L134" s="73">
        <v>1</v>
      </c>
      <c r="M134" s="73">
        <v>0</v>
      </c>
      <c r="N134" s="73">
        <v>0</v>
      </c>
      <c r="O134" s="73">
        <v>0</v>
      </c>
      <c r="P134" s="73">
        <v>0</v>
      </c>
      <c r="Q134" s="73" t="s">
        <v>457</v>
      </c>
      <c r="S134" s="73">
        <v>5.18</v>
      </c>
      <c r="T134" s="73" t="s">
        <v>632</v>
      </c>
      <c r="U134" s="73">
        <v>9</v>
      </c>
      <c r="V134" s="73">
        <v>1</v>
      </c>
    </row>
    <row r="135" spans="1:22">
      <c r="A135" s="73">
        <v>107</v>
      </c>
      <c r="B135" s="73" t="s">
        <v>1386</v>
      </c>
      <c r="C135" s="73" t="s">
        <v>330</v>
      </c>
      <c r="E135" s="73" t="s">
        <v>1387</v>
      </c>
      <c r="F135" s="73">
        <v>120</v>
      </c>
      <c r="G135" s="84">
        <f>CEILING(J135*K135,Настройки!$D$1)</f>
        <v>27.200000000000003</v>
      </c>
      <c r="H135" s="84">
        <f>CEILING(G135*Резка!$B$4,10)</f>
        <v>2720</v>
      </c>
      <c r="J135" s="73">
        <f t="shared" si="18"/>
        <v>17</v>
      </c>
      <c r="K135" s="84">
        <f>Настройки!$K$6</f>
        <v>1.6</v>
      </c>
      <c r="L135" s="73">
        <v>1</v>
      </c>
      <c r="M135" s="73">
        <v>1</v>
      </c>
      <c r="N135" s="73">
        <v>1</v>
      </c>
      <c r="O135" s="73">
        <v>1</v>
      </c>
      <c r="P135" s="73">
        <v>0</v>
      </c>
      <c r="Q135" s="73" t="s">
        <v>93</v>
      </c>
      <c r="S135" s="73">
        <v>8500</v>
      </c>
      <c r="T135" s="73" t="s">
        <v>631</v>
      </c>
      <c r="U135" s="73">
        <v>500</v>
      </c>
      <c r="V135" s="73">
        <v>1</v>
      </c>
    </row>
    <row r="136" spans="1:22">
      <c r="A136" s="73">
        <v>108</v>
      </c>
      <c r="B136" s="73" t="s">
        <v>1391</v>
      </c>
      <c r="C136" s="73" t="s">
        <v>330</v>
      </c>
      <c r="E136" s="73" t="s">
        <v>1392</v>
      </c>
      <c r="F136" s="73">
        <v>170</v>
      </c>
      <c r="G136" s="84">
        <f>CEILING(J136*K136,Настройки!$D$1)</f>
        <v>96</v>
      </c>
      <c r="H136" s="84">
        <f>CEILING(G136*Резка!$B$4,10)</f>
        <v>9600</v>
      </c>
      <c r="J136" s="73">
        <f t="shared" si="18"/>
        <v>60</v>
      </c>
      <c r="K136" s="84">
        <f>Настройки!$K$6</f>
        <v>1.6</v>
      </c>
      <c r="L136" s="73">
        <v>1</v>
      </c>
      <c r="M136" s="73">
        <v>1</v>
      </c>
      <c r="N136" s="73">
        <v>1</v>
      </c>
      <c r="O136" s="73">
        <v>1</v>
      </c>
      <c r="P136" s="73">
        <v>0</v>
      </c>
      <c r="Q136" s="73" t="s">
        <v>93</v>
      </c>
      <c r="S136" s="73">
        <v>1500</v>
      </c>
      <c r="T136" s="73" t="s">
        <v>631</v>
      </c>
      <c r="U136" s="73">
        <v>25</v>
      </c>
      <c r="V136" s="73">
        <v>1</v>
      </c>
    </row>
    <row r="137" spans="1:22">
      <c r="A137" s="73">
        <v>109</v>
      </c>
      <c r="B137" s="73" t="s">
        <v>1391</v>
      </c>
      <c r="C137" s="73" t="s">
        <v>330</v>
      </c>
      <c r="E137" s="73" t="s">
        <v>1393</v>
      </c>
      <c r="F137" s="73">
        <v>120</v>
      </c>
      <c r="G137" s="84">
        <f>CEILING(J137*K137,Настройки!$D$1)</f>
        <v>128</v>
      </c>
      <c r="H137" s="84">
        <f>CEILING(G137*Резка!$B$4,10)</f>
        <v>12800</v>
      </c>
      <c r="J137" s="73">
        <f t="shared" si="18"/>
        <v>80</v>
      </c>
      <c r="K137" s="84">
        <f>Настройки!$K$6</f>
        <v>1.6</v>
      </c>
      <c r="L137" s="73">
        <v>1</v>
      </c>
      <c r="M137" s="73">
        <v>1</v>
      </c>
      <c r="N137" s="73">
        <v>1</v>
      </c>
      <c r="O137" s="73">
        <v>1</v>
      </c>
      <c r="P137" s="73">
        <v>0</v>
      </c>
      <c r="Q137" s="73" t="s">
        <v>93</v>
      </c>
      <c r="S137" s="73">
        <v>2000</v>
      </c>
      <c r="T137" s="73" t="s">
        <v>631</v>
      </c>
      <c r="U137" s="73">
        <v>25</v>
      </c>
      <c r="V137" s="73">
        <v>1</v>
      </c>
    </row>
    <row r="138" spans="1:22">
      <c r="A138" s="73">
        <v>110</v>
      </c>
      <c r="B138" s="73" t="s">
        <v>495</v>
      </c>
      <c r="C138" s="73" t="s">
        <v>330</v>
      </c>
      <c r="E138" s="73" t="s">
        <v>496</v>
      </c>
      <c r="F138" s="73">
        <v>120</v>
      </c>
      <c r="G138" s="84">
        <f>CEILING(J138*K138,Настройки!$D$1)</f>
        <v>24.55</v>
      </c>
      <c r="H138" s="84">
        <f>CEILING(G138*Резка!$B$4,10)</f>
        <v>2460</v>
      </c>
      <c r="J138" s="73">
        <f t="shared" si="18"/>
        <v>15.333333333333334</v>
      </c>
      <c r="K138" s="84">
        <f>Настройки!$K$6</f>
        <v>1.6</v>
      </c>
      <c r="L138" s="73">
        <v>1</v>
      </c>
      <c r="M138" s="73">
        <v>1</v>
      </c>
      <c r="N138" s="73">
        <v>1</v>
      </c>
      <c r="O138" s="73">
        <v>1</v>
      </c>
      <c r="P138" s="73">
        <v>0</v>
      </c>
      <c r="Q138" s="73" t="s">
        <v>93</v>
      </c>
      <c r="S138" s="73">
        <v>1.2</v>
      </c>
      <c r="T138" s="73" t="s">
        <v>630</v>
      </c>
      <c r="U138" s="73">
        <v>9</v>
      </c>
      <c r="V138" s="73">
        <v>1</v>
      </c>
    </row>
    <row r="139" spans="1:22">
      <c r="A139" s="73">
        <v>111</v>
      </c>
      <c r="B139" s="73" t="s">
        <v>497</v>
      </c>
      <c r="C139" s="73" t="s">
        <v>330</v>
      </c>
      <c r="E139" s="73" t="s">
        <v>498</v>
      </c>
      <c r="F139" s="73">
        <v>80</v>
      </c>
      <c r="G139" s="84">
        <f>CEILING(J139*K139,Настройки!$D$1)</f>
        <v>24.400000000000002</v>
      </c>
      <c r="H139" s="84">
        <f>CEILING(G139*Резка!$B$4,10)</f>
        <v>2440</v>
      </c>
      <c r="J139" s="73">
        <f t="shared" si="18"/>
        <v>15.237500000000001</v>
      </c>
      <c r="K139" s="84">
        <f>Настройки!$K$6</f>
        <v>1.6</v>
      </c>
      <c r="L139" s="73">
        <v>1</v>
      </c>
      <c r="M139" s="73">
        <v>1</v>
      </c>
      <c r="N139" s="73">
        <v>1</v>
      </c>
      <c r="O139" s="73">
        <v>1</v>
      </c>
      <c r="P139" s="73">
        <v>0</v>
      </c>
      <c r="Q139" s="73" t="s">
        <v>93</v>
      </c>
      <c r="S139" s="73">
        <v>0.53</v>
      </c>
      <c r="T139" s="73" t="s">
        <v>630</v>
      </c>
      <c r="U139" s="73">
        <v>4</v>
      </c>
      <c r="V139" s="73">
        <v>1</v>
      </c>
    </row>
    <row r="140" spans="1:22">
      <c r="A140" s="73">
        <v>112</v>
      </c>
      <c r="B140" s="73" t="s">
        <v>893</v>
      </c>
      <c r="C140" s="73" t="s">
        <v>330</v>
      </c>
      <c r="E140" s="73" t="s">
        <v>498</v>
      </c>
      <c r="F140" s="73">
        <v>80</v>
      </c>
      <c r="G140" s="84">
        <f>CEILING(J140*K140,Настройки!$D$1)</f>
        <v>31.75</v>
      </c>
      <c r="H140" s="84">
        <f>CEILING(G140*Резка!$B$4,10)</f>
        <v>3180</v>
      </c>
      <c r="J140" s="73">
        <f>IF(T140=$S$28,S140*$T$28/U140,IF(T140=$S$29,S140*$T$29/U140,S140/U140))</f>
        <v>19.837499999999999</v>
      </c>
      <c r="K140" s="84">
        <f>Настройки!$K$6</f>
        <v>1.6</v>
      </c>
      <c r="L140" s="73">
        <v>1</v>
      </c>
      <c r="M140" s="73">
        <v>1</v>
      </c>
      <c r="N140" s="73">
        <v>1</v>
      </c>
      <c r="O140" s="73">
        <v>1</v>
      </c>
      <c r="P140" s="73">
        <v>0</v>
      </c>
      <c r="Q140" s="73" t="s">
        <v>93</v>
      </c>
      <c r="S140" s="73">
        <v>0.69</v>
      </c>
      <c r="T140" s="73" t="s">
        <v>630</v>
      </c>
      <c r="U140" s="73">
        <v>4</v>
      </c>
      <c r="V140" s="73">
        <v>1</v>
      </c>
    </row>
    <row r="141" spans="1:22">
      <c r="A141" s="73">
        <v>113</v>
      </c>
      <c r="B141" s="85" t="s">
        <v>200</v>
      </c>
      <c r="C141" s="74" t="s">
        <v>201</v>
      </c>
      <c r="D141" s="74"/>
      <c r="E141" s="74" t="s">
        <v>191</v>
      </c>
      <c r="F141" s="86">
        <v>300</v>
      </c>
      <c r="G141" s="84">
        <f>CEILING(J141*K141,Настройки!$D$1)</f>
        <v>40.1</v>
      </c>
      <c r="H141" s="84">
        <f>CEILING(G141*Резка!$B$4,10)</f>
        <v>4010</v>
      </c>
      <c r="J141" s="73">
        <f>IF(T141=$S$28,S141*$T$28/U141,IF(T141=$S$29,S141*$T$29/U141,S141/U141))</f>
        <v>25.044444444444444</v>
      </c>
      <c r="K141" s="84">
        <f>Настройки!$K$6</f>
        <v>1.6</v>
      </c>
      <c r="L141" s="73">
        <v>1</v>
      </c>
      <c r="M141" s="73">
        <v>0</v>
      </c>
      <c r="N141" s="73">
        <f t="shared" ref="N141:N161" si="19">M141</f>
        <v>0</v>
      </c>
      <c r="O141" s="73">
        <f t="shared" ref="O141:O161" si="20">M141</f>
        <v>0</v>
      </c>
      <c r="P141" s="73">
        <v>0</v>
      </c>
      <c r="Q141" s="73" t="s">
        <v>458</v>
      </c>
      <c r="S141" s="73">
        <v>1.96</v>
      </c>
      <c r="T141" s="73" t="s">
        <v>630</v>
      </c>
      <c r="U141" s="73">
        <v>9</v>
      </c>
      <c r="V141" s="73">
        <v>1</v>
      </c>
    </row>
    <row r="142" spans="1:22" ht="36">
      <c r="A142" s="73">
        <v>114</v>
      </c>
      <c r="B142" s="85" t="s">
        <v>1391</v>
      </c>
      <c r="C142" s="74" t="s">
        <v>405</v>
      </c>
      <c r="D142" s="74"/>
      <c r="E142" s="74" t="s">
        <v>1387</v>
      </c>
      <c r="F142" s="86">
        <v>250</v>
      </c>
      <c r="G142" s="84">
        <f>CEILING(J142*K142,Настройки!$D$1)</f>
        <v>10.25</v>
      </c>
      <c r="H142" s="84">
        <f>CEILING(G142*Резка!$B$4,10)</f>
        <v>1030</v>
      </c>
      <c r="J142" s="73">
        <f>IF(T142=$S$28,S142*$T$28/U142,IF(T142=$S$29,S142*$T$29/U142,S142/U142))</f>
        <v>6.4</v>
      </c>
      <c r="K142" s="84">
        <f>Настройки!$K$6</f>
        <v>1.6</v>
      </c>
      <c r="L142" s="73">
        <v>1</v>
      </c>
      <c r="M142" s="73">
        <v>0</v>
      </c>
      <c r="N142" s="73">
        <f t="shared" si="19"/>
        <v>0</v>
      </c>
      <c r="O142" s="73">
        <f t="shared" si="20"/>
        <v>0</v>
      </c>
      <c r="P142" s="73">
        <v>0</v>
      </c>
      <c r="Q142" s="73" t="s">
        <v>458</v>
      </c>
      <c r="S142" s="73">
        <v>960</v>
      </c>
      <c r="T142" s="73" t="s">
        <v>631</v>
      </c>
      <c r="U142" s="73">
        <v>150</v>
      </c>
      <c r="V142" s="73">
        <v>1</v>
      </c>
    </row>
    <row r="143" spans="1:22" ht="15.75" customHeight="1">
      <c r="A143" s="84">
        <v>120</v>
      </c>
      <c r="B143" s="85" t="s">
        <v>1307</v>
      </c>
      <c r="C143" s="87" t="s">
        <v>195</v>
      </c>
      <c r="D143" s="87"/>
      <c r="E143" s="74" t="s">
        <v>303</v>
      </c>
      <c r="F143" s="84">
        <v>100</v>
      </c>
      <c r="G143" s="84">
        <f>CEILING(J143*K143,Настройки!$D$1)</f>
        <v>2.9000000000000004</v>
      </c>
      <c r="H143" s="84">
        <f>CEILING(G143*Резка!$B$4,10)</f>
        <v>290</v>
      </c>
      <c r="J143" s="73">
        <f t="shared" si="18"/>
        <v>1.8</v>
      </c>
      <c r="K143" s="84">
        <f>Настройки!$K$6</f>
        <v>1.6</v>
      </c>
      <c r="L143" s="73">
        <v>1</v>
      </c>
      <c r="M143" s="73">
        <v>1</v>
      </c>
      <c r="N143" s="73">
        <f t="shared" si="19"/>
        <v>1</v>
      </c>
      <c r="O143" s="73">
        <f t="shared" si="20"/>
        <v>1</v>
      </c>
      <c r="P143" s="73">
        <v>0</v>
      </c>
      <c r="Q143" s="73" t="s">
        <v>457</v>
      </c>
      <c r="S143" s="73">
        <v>1800</v>
      </c>
      <c r="T143" s="73" t="s">
        <v>631</v>
      </c>
      <c r="U143" s="73">
        <v>1000</v>
      </c>
      <c r="V143" s="73">
        <v>1</v>
      </c>
    </row>
    <row r="144" spans="1:22" ht="15.75" customHeight="1">
      <c r="A144" s="84">
        <v>121</v>
      </c>
      <c r="B144" s="85" t="s">
        <v>185</v>
      </c>
      <c r="C144" s="85" t="s">
        <v>186</v>
      </c>
      <c r="D144" s="85"/>
      <c r="E144" s="85" t="s">
        <v>272</v>
      </c>
      <c r="F144" s="84">
        <v>90</v>
      </c>
      <c r="G144" s="84">
        <f>CEILING(J144*K144,Настройки!$D$1)</f>
        <v>4.3500000000000005</v>
      </c>
      <c r="H144" s="84">
        <f>CEILING(G144*Резка!$B$4,10)</f>
        <v>440</v>
      </c>
      <c r="J144" s="73">
        <f t="shared" ref="J144:J150" si="21">IF(T144=$S$28,S144*$T$28/U144,IF(T144=$S$29,S144*$T$29/U144,S144/U144))</f>
        <v>2.7</v>
      </c>
      <c r="K144" s="84">
        <f>Настройки!$K$6</f>
        <v>1.6</v>
      </c>
      <c r="L144" s="73">
        <v>1</v>
      </c>
      <c r="M144" s="73">
        <v>1</v>
      </c>
      <c r="N144" s="73">
        <f t="shared" si="19"/>
        <v>1</v>
      </c>
      <c r="O144" s="73">
        <f t="shared" si="20"/>
        <v>1</v>
      </c>
      <c r="P144" s="73">
        <v>0</v>
      </c>
      <c r="Q144" s="73" t="s">
        <v>457</v>
      </c>
      <c r="S144" s="73">
        <v>2700</v>
      </c>
      <c r="T144" s="73" t="s">
        <v>631</v>
      </c>
      <c r="U144" s="73">
        <v>1000</v>
      </c>
      <c r="V144" s="73">
        <v>1</v>
      </c>
    </row>
    <row r="145" spans="1:22" ht="15.75" customHeight="1">
      <c r="A145" s="84">
        <v>200</v>
      </c>
      <c r="B145" s="85" t="s">
        <v>1266</v>
      </c>
      <c r="C145" s="85" t="s">
        <v>186</v>
      </c>
      <c r="D145" s="85"/>
      <c r="E145" s="85" t="s">
        <v>272</v>
      </c>
      <c r="F145" s="84">
        <v>275</v>
      </c>
      <c r="G145" s="84">
        <f>CEILING(J145*K145,Настройки!$D$1)</f>
        <v>86.5</v>
      </c>
      <c r="H145" s="84">
        <f>CEILING(G145*Резка!$B$4,10)</f>
        <v>8650</v>
      </c>
      <c r="J145" s="73">
        <f t="shared" si="21"/>
        <v>54.05</v>
      </c>
      <c r="K145" s="84">
        <f>Настройки!$K$6</f>
        <v>1.6</v>
      </c>
      <c r="L145" s="73">
        <v>1</v>
      </c>
      <c r="M145" s="73">
        <v>1</v>
      </c>
      <c r="N145" s="73">
        <f t="shared" ref="N145:N150" si="22">M145</f>
        <v>1</v>
      </c>
      <c r="O145" s="73">
        <f t="shared" ref="O145:O150" si="23">M145</f>
        <v>1</v>
      </c>
      <c r="P145" s="73">
        <v>0</v>
      </c>
      <c r="Q145" s="73" t="s">
        <v>457</v>
      </c>
      <c r="S145" s="73">
        <v>0.94</v>
      </c>
      <c r="T145" s="73" t="s">
        <v>630</v>
      </c>
      <c r="U145" s="73">
        <v>2</v>
      </c>
      <c r="V145" s="73">
        <v>1</v>
      </c>
    </row>
    <row r="146" spans="1:22" ht="15.75" customHeight="1">
      <c r="A146" s="84">
        <v>201</v>
      </c>
      <c r="B146" s="85" t="s">
        <v>1271</v>
      </c>
      <c r="C146" s="85" t="s">
        <v>186</v>
      </c>
      <c r="D146" s="85"/>
      <c r="E146" s="85" t="s">
        <v>1267</v>
      </c>
      <c r="F146" s="84">
        <v>125</v>
      </c>
      <c r="G146" s="84">
        <f>CEILING(J146*K146,Настройки!$D$1)</f>
        <v>86.5</v>
      </c>
      <c r="H146" s="84">
        <f>CEILING(G146*Резка!$B$4,10)</f>
        <v>8650</v>
      </c>
      <c r="J146" s="73">
        <f t="shared" si="21"/>
        <v>54.05</v>
      </c>
      <c r="K146" s="84">
        <f>Настройки!$K$6</f>
        <v>1.6</v>
      </c>
      <c r="L146" s="73">
        <v>1</v>
      </c>
      <c r="M146" s="73">
        <v>1</v>
      </c>
      <c r="N146" s="73">
        <f t="shared" si="22"/>
        <v>1</v>
      </c>
      <c r="O146" s="73">
        <f t="shared" si="23"/>
        <v>1</v>
      </c>
      <c r="P146" s="73">
        <v>0</v>
      </c>
      <c r="Q146" s="73" t="s">
        <v>457</v>
      </c>
      <c r="S146" s="73">
        <v>0.94</v>
      </c>
      <c r="T146" s="73" t="s">
        <v>630</v>
      </c>
      <c r="U146" s="73">
        <v>2</v>
      </c>
      <c r="V146" s="73">
        <v>1</v>
      </c>
    </row>
    <row r="147" spans="1:22" ht="15.75" customHeight="1">
      <c r="A147" s="84">
        <v>202</v>
      </c>
      <c r="B147" s="85" t="s">
        <v>1351</v>
      </c>
      <c r="C147" s="85" t="s">
        <v>1270</v>
      </c>
      <c r="D147" s="85"/>
      <c r="E147" s="85" t="s">
        <v>272</v>
      </c>
      <c r="F147" s="84">
        <v>229</v>
      </c>
      <c r="G147" s="84">
        <f>CEILING(J147*K147,Настройки!$D$1)</f>
        <v>86.5</v>
      </c>
      <c r="H147" s="84">
        <f>CEILING(G147*Резка!$B$4,10)</f>
        <v>8650</v>
      </c>
      <c r="J147" s="73">
        <f t="shared" si="21"/>
        <v>54.05</v>
      </c>
      <c r="K147" s="84">
        <f>Настройки!$K$6</f>
        <v>1.6</v>
      </c>
      <c r="L147" s="73">
        <v>1</v>
      </c>
      <c r="M147" s="73">
        <v>1</v>
      </c>
      <c r="N147" s="73">
        <f t="shared" si="22"/>
        <v>1</v>
      </c>
      <c r="O147" s="73">
        <f t="shared" si="23"/>
        <v>1</v>
      </c>
      <c r="P147" s="73">
        <v>0</v>
      </c>
      <c r="Q147" s="73" t="s">
        <v>457</v>
      </c>
      <c r="S147" s="73">
        <v>0.94</v>
      </c>
      <c r="T147" s="73" t="s">
        <v>630</v>
      </c>
      <c r="U147" s="73">
        <v>2</v>
      </c>
      <c r="V147" s="73">
        <v>1</v>
      </c>
    </row>
    <row r="148" spans="1:22" ht="15.75" customHeight="1">
      <c r="A148" s="84">
        <v>203</v>
      </c>
      <c r="B148" s="85" t="s">
        <v>1268</v>
      </c>
      <c r="C148" s="85" t="s">
        <v>1270</v>
      </c>
      <c r="D148" s="85"/>
      <c r="E148" s="85" t="s">
        <v>1269</v>
      </c>
      <c r="F148" s="84">
        <v>200</v>
      </c>
      <c r="G148" s="84">
        <f>CEILING(J148*K148,Настройки!$D$1)</f>
        <v>86.5</v>
      </c>
      <c r="H148" s="84">
        <f>CEILING(G148*Резка!$B$4,10)</f>
        <v>8650</v>
      </c>
      <c r="J148" s="73">
        <f t="shared" si="21"/>
        <v>54.05</v>
      </c>
      <c r="K148" s="84">
        <f>Настройки!$K$6</f>
        <v>1.6</v>
      </c>
      <c r="L148" s="73">
        <v>1</v>
      </c>
      <c r="M148" s="73">
        <v>1</v>
      </c>
      <c r="N148" s="73">
        <f t="shared" si="22"/>
        <v>1</v>
      </c>
      <c r="O148" s="73">
        <f t="shared" si="23"/>
        <v>1</v>
      </c>
      <c r="P148" s="73">
        <v>0</v>
      </c>
      <c r="Q148" s="73" t="s">
        <v>457</v>
      </c>
      <c r="S148" s="73">
        <v>0.94</v>
      </c>
      <c r="T148" s="73" t="s">
        <v>630</v>
      </c>
      <c r="U148" s="73">
        <v>2</v>
      </c>
      <c r="V148" s="73">
        <v>1</v>
      </c>
    </row>
    <row r="149" spans="1:22" ht="15.75" customHeight="1">
      <c r="A149" s="84">
        <v>204</v>
      </c>
      <c r="B149" s="85" t="s">
        <v>1351</v>
      </c>
      <c r="C149" s="85" t="s">
        <v>1352</v>
      </c>
      <c r="D149" s="85"/>
      <c r="E149" s="85" t="s">
        <v>272</v>
      </c>
      <c r="F149" s="84">
        <v>242</v>
      </c>
      <c r="G149" s="84">
        <f>CEILING(J149*K149,Настройки!$D$1)</f>
        <v>86.5</v>
      </c>
      <c r="H149" s="84">
        <f>CEILING(G149*Резка!$B$4,10)</f>
        <v>8650</v>
      </c>
      <c r="J149" s="73">
        <f t="shared" si="21"/>
        <v>54.05</v>
      </c>
      <c r="K149" s="84">
        <f>Настройки!$K$6</f>
        <v>1.6</v>
      </c>
      <c r="L149" s="73">
        <v>1</v>
      </c>
      <c r="M149" s="73">
        <v>1</v>
      </c>
      <c r="N149" s="73">
        <f t="shared" si="22"/>
        <v>1</v>
      </c>
      <c r="O149" s="73">
        <f t="shared" si="23"/>
        <v>1</v>
      </c>
      <c r="P149" s="73">
        <v>0</v>
      </c>
      <c r="Q149" s="73" t="s">
        <v>457</v>
      </c>
      <c r="S149" s="73">
        <v>0.94</v>
      </c>
      <c r="T149" s="73" t="s">
        <v>630</v>
      </c>
      <c r="U149" s="73">
        <v>2</v>
      </c>
      <c r="V149" s="73">
        <v>1</v>
      </c>
    </row>
    <row r="150" spans="1:22" ht="15.75" customHeight="1">
      <c r="A150" s="84">
        <v>205</v>
      </c>
      <c r="B150" s="85" t="s">
        <v>1353</v>
      </c>
      <c r="C150" s="85" t="s">
        <v>1352</v>
      </c>
      <c r="D150" s="85"/>
      <c r="E150" s="85" t="s">
        <v>272</v>
      </c>
      <c r="F150" s="84">
        <v>100</v>
      </c>
      <c r="G150" s="84">
        <f>CEILING(J150*K150,Настройки!$D$1)</f>
        <v>86.5</v>
      </c>
      <c r="H150" s="84">
        <f>CEILING(G150*Резка!$B$4,10)</f>
        <v>8650</v>
      </c>
      <c r="J150" s="73">
        <f t="shared" si="21"/>
        <v>54.05</v>
      </c>
      <c r="K150" s="84">
        <f>Настройки!$K$6</f>
        <v>1.6</v>
      </c>
      <c r="L150" s="73">
        <v>1</v>
      </c>
      <c r="M150" s="73">
        <v>1</v>
      </c>
      <c r="N150" s="73">
        <f t="shared" si="22"/>
        <v>1</v>
      </c>
      <c r="O150" s="73">
        <f t="shared" si="23"/>
        <v>1</v>
      </c>
      <c r="P150" s="73">
        <v>0</v>
      </c>
      <c r="Q150" s="73" t="s">
        <v>457</v>
      </c>
      <c r="S150" s="73">
        <v>0.94</v>
      </c>
      <c r="T150" s="73" t="s">
        <v>630</v>
      </c>
      <c r="U150" s="73">
        <v>2</v>
      </c>
      <c r="V150" s="73">
        <v>1</v>
      </c>
    </row>
    <row r="151" spans="1:22" ht="15.75" customHeight="1">
      <c r="A151" s="84">
        <v>500</v>
      </c>
      <c r="B151" s="85" t="s">
        <v>1312</v>
      </c>
      <c r="C151" s="74" t="s">
        <v>190</v>
      </c>
      <c r="D151" s="85"/>
      <c r="E151" s="85" t="s">
        <v>1314</v>
      </c>
      <c r="F151" s="84">
        <v>80</v>
      </c>
      <c r="G151" s="84">
        <f t="shared" ref="G151:G161" si="24">J151*K151</f>
        <v>5.44</v>
      </c>
      <c r="H151" s="84">
        <f>CEILING(G151*Резка!$B$4,10)</f>
        <v>550</v>
      </c>
      <c r="J151" s="73">
        <f t="shared" si="18"/>
        <v>3.4</v>
      </c>
      <c r="K151" s="84">
        <f>Настройки!$K$6</f>
        <v>1.6</v>
      </c>
      <c r="L151" s="73">
        <v>1</v>
      </c>
      <c r="M151" s="73">
        <v>0</v>
      </c>
      <c r="N151" s="73">
        <f t="shared" si="19"/>
        <v>0</v>
      </c>
      <c r="O151" s="73">
        <f t="shared" si="20"/>
        <v>0</v>
      </c>
      <c r="P151" s="73">
        <v>0</v>
      </c>
      <c r="Q151" s="73" t="s">
        <v>458</v>
      </c>
      <c r="S151" s="73">
        <v>1700</v>
      </c>
      <c r="T151" s="73" t="s">
        <v>631</v>
      </c>
      <c r="U151" s="73">
        <v>500</v>
      </c>
      <c r="V151" s="73">
        <v>1</v>
      </c>
    </row>
    <row r="152" spans="1:22" ht="15.75" customHeight="1">
      <c r="A152" s="84">
        <v>501</v>
      </c>
      <c r="B152" s="85" t="s">
        <v>1313</v>
      </c>
      <c r="C152" s="74" t="s">
        <v>190</v>
      </c>
      <c r="D152" s="85"/>
      <c r="E152" s="85" t="s">
        <v>1315</v>
      </c>
      <c r="F152" s="84">
        <v>80</v>
      </c>
      <c r="G152" s="84">
        <f t="shared" si="24"/>
        <v>6.4</v>
      </c>
      <c r="H152" s="84">
        <f>CEILING(G152*Резка!$B$4,10)</f>
        <v>640</v>
      </c>
      <c r="J152" s="73">
        <f t="shared" si="18"/>
        <v>4</v>
      </c>
      <c r="K152" s="84">
        <f>Настройки!$K$6</f>
        <v>1.6</v>
      </c>
      <c r="L152" s="73">
        <v>1</v>
      </c>
      <c r="M152" s="73">
        <v>0</v>
      </c>
      <c r="N152" s="73">
        <f t="shared" si="19"/>
        <v>0</v>
      </c>
      <c r="O152" s="73">
        <f t="shared" si="20"/>
        <v>0</v>
      </c>
      <c r="P152" s="73">
        <v>0</v>
      </c>
      <c r="Q152" s="73" t="s">
        <v>458</v>
      </c>
      <c r="S152" s="73">
        <v>2000</v>
      </c>
      <c r="T152" s="73" t="s">
        <v>631</v>
      </c>
      <c r="U152" s="73">
        <v>500</v>
      </c>
      <c r="V152" s="73">
        <v>1</v>
      </c>
    </row>
    <row r="153" spans="1:22" ht="15.75" customHeight="1">
      <c r="A153" s="84">
        <v>502</v>
      </c>
      <c r="B153" s="85" t="s">
        <v>1357</v>
      </c>
      <c r="C153" s="74" t="s">
        <v>190</v>
      </c>
      <c r="D153" s="85"/>
      <c r="E153" s="85" t="s">
        <v>1316</v>
      </c>
      <c r="F153" s="84">
        <v>80</v>
      </c>
      <c r="G153" s="84">
        <f t="shared" si="24"/>
        <v>6.4</v>
      </c>
      <c r="H153" s="84">
        <f>CEILING(G153*Резка!$B$4,10)</f>
        <v>640</v>
      </c>
      <c r="J153" s="73">
        <f t="shared" si="18"/>
        <v>4</v>
      </c>
      <c r="K153" s="84">
        <f>Настройки!$K$6</f>
        <v>1.6</v>
      </c>
      <c r="L153" s="73">
        <v>1</v>
      </c>
      <c r="M153" s="73">
        <v>0</v>
      </c>
      <c r="N153" s="73">
        <f t="shared" si="19"/>
        <v>0</v>
      </c>
      <c r="O153" s="73">
        <f t="shared" si="20"/>
        <v>0</v>
      </c>
      <c r="P153" s="73">
        <v>0</v>
      </c>
      <c r="Q153" s="73" t="s">
        <v>458</v>
      </c>
      <c r="S153" s="73">
        <v>2000</v>
      </c>
      <c r="T153" s="73" t="s">
        <v>631</v>
      </c>
      <c r="U153" s="73">
        <v>500</v>
      </c>
      <c r="V153" s="73">
        <v>1</v>
      </c>
    </row>
    <row r="154" spans="1:22" ht="15.75" customHeight="1">
      <c r="A154" s="84">
        <v>503</v>
      </c>
      <c r="B154" s="85" t="s">
        <v>562</v>
      </c>
      <c r="C154" s="74" t="s">
        <v>190</v>
      </c>
      <c r="D154" s="85"/>
      <c r="E154" s="85" t="s">
        <v>1317</v>
      </c>
      <c r="F154" s="84">
        <v>80</v>
      </c>
      <c r="G154" s="84">
        <f t="shared" si="24"/>
        <v>6.7200000000000006</v>
      </c>
      <c r="H154" s="84">
        <f>CEILING(G154*Резка!$B$4,10)</f>
        <v>680</v>
      </c>
      <c r="J154" s="73">
        <f t="shared" si="18"/>
        <v>4.2</v>
      </c>
      <c r="K154" s="84">
        <f>Настройки!$K$6</f>
        <v>1.6</v>
      </c>
      <c r="L154" s="73">
        <v>1</v>
      </c>
      <c r="M154" s="73">
        <v>0</v>
      </c>
      <c r="N154" s="73">
        <f t="shared" si="19"/>
        <v>0</v>
      </c>
      <c r="O154" s="73">
        <f t="shared" si="20"/>
        <v>0</v>
      </c>
      <c r="P154" s="73">
        <v>0</v>
      </c>
      <c r="Q154" s="73" t="s">
        <v>458</v>
      </c>
      <c r="S154" s="73">
        <v>2100</v>
      </c>
      <c r="T154" s="73" t="s">
        <v>631</v>
      </c>
      <c r="U154" s="73">
        <v>500</v>
      </c>
      <c r="V154" s="73">
        <v>1</v>
      </c>
    </row>
    <row r="155" spans="1:22" ht="15.75" customHeight="1">
      <c r="A155" s="84">
        <v>504</v>
      </c>
      <c r="B155" s="85" t="s">
        <v>563</v>
      </c>
      <c r="C155" s="74" t="s">
        <v>190</v>
      </c>
      <c r="D155" s="85"/>
      <c r="E155" s="85" t="s">
        <v>1317</v>
      </c>
      <c r="F155" s="84">
        <v>80</v>
      </c>
      <c r="G155" s="84">
        <f t="shared" si="24"/>
        <v>6.7200000000000006</v>
      </c>
      <c r="H155" s="84">
        <f>CEILING(G155*Резка!$B$4,10)</f>
        <v>680</v>
      </c>
      <c r="J155" s="73">
        <f t="shared" ref="J155:J160" si="25">IF(T155=$S$28,S155*$T$28/U155,IF(T155=$S$29,S155*$T$29/U155,S155/U155))</f>
        <v>4.2</v>
      </c>
      <c r="K155" s="84">
        <f>Настройки!$K$6</f>
        <v>1.6</v>
      </c>
      <c r="L155" s="73">
        <v>1</v>
      </c>
      <c r="M155" s="73">
        <v>0</v>
      </c>
      <c r="N155" s="73">
        <f t="shared" si="19"/>
        <v>0</v>
      </c>
      <c r="O155" s="73">
        <f t="shared" si="20"/>
        <v>0</v>
      </c>
      <c r="P155" s="73">
        <v>0</v>
      </c>
      <c r="Q155" s="73" t="s">
        <v>458</v>
      </c>
      <c r="S155" s="73">
        <v>2100</v>
      </c>
      <c r="T155" s="73" t="s">
        <v>631</v>
      </c>
      <c r="U155" s="73">
        <v>500</v>
      </c>
      <c r="V155" s="73">
        <v>1</v>
      </c>
    </row>
    <row r="156" spans="1:22" ht="15.75" customHeight="1">
      <c r="A156" s="84">
        <v>505</v>
      </c>
      <c r="B156" s="85" t="s">
        <v>796</v>
      </c>
      <c r="C156" s="74" t="s">
        <v>190</v>
      </c>
      <c r="D156" s="85"/>
      <c r="E156" s="85" t="s">
        <v>1317</v>
      </c>
      <c r="F156" s="84">
        <v>80</v>
      </c>
      <c r="G156" s="84">
        <f>J156*K156</f>
        <v>6.7200000000000006</v>
      </c>
      <c r="H156" s="84">
        <f>CEILING(G156*Резка!$B$4,10)</f>
        <v>680</v>
      </c>
      <c r="J156" s="73">
        <f t="shared" si="25"/>
        <v>4.2</v>
      </c>
      <c r="K156" s="84">
        <f>Настройки!$K$6</f>
        <v>1.6</v>
      </c>
      <c r="L156" s="73">
        <v>1</v>
      </c>
      <c r="M156" s="73">
        <v>0</v>
      </c>
      <c r="N156" s="73">
        <f t="shared" si="19"/>
        <v>0</v>
      </c>
      <c r="O156" s="73">
        <f t="shared" si="20"/>
        <v>0</v>
      </c>
      <c r="P156" s="73">
        <v>0</v>
      </c>
      <c r="Q156" s="73" t="s">
        <v>458</v>
      </c>
      <c r="S156" s="73">
        <v>2100</v>
      </c>
      <c r="T156" s="73" t="s">
        <v>631</v>
      </c>
      <c r="U156" s="73">
        <v>500</v>
      </c>
      <c r="V156" s="73">
        <v>1</v>
      </c>
    </row>
    <row r="157" spans="1:22" ht="15.75" customHeight="1">
      <c r="A157" s="84">
        <v>506</v>
      </c>
      <c r="B157" s="85" t="s">
        <v>797</v>
      </c>
      <c r="C157" s="74" t="s">
        <v>190</v>
      </c>
      <c r="D157" s="85"/>
      <c r="E157" s="85" t="s">
        <v>1317</v>
      </c>
      <c r="F157" s="84">
        <v>80</v>
      </c>
      <c r="G157" s="84">
        <f>J157*K157</f>
        <v>6.7200000000000006</v>
      </c>
      <c r="H157" s="84">
        <f>CEILING(G157*Резка!$B$4,10)</f>
        <v>680</v>
      </c>
      <c r="J157" s="73">
        <f t="shared" si="25"/>
        <v>4.2</v>
      </c>
      <c r="K157" s="84">
        <f>Настройки!$K$6</f>
        <v>1.6</v>
      </c>
      <c r="L157" s="73">
        <v>1</v>
      </c>
      <c r="M157" s="73">
        <v>0</v>
      </c>
      <c r="N157" s="73">
        <f t="shared" si="19"/>
        <v>0</v>
      </c>
      <c r="O157" s="73">
        <f t="shared" si="20"/>
        <v>0</v>
      </c>
      <c r="P157" s="73">
        <v>0</v>
      </c>
      <c r="Q157" s="73" t="s">
        <v>458</v>
      </c>
      <c r="S157" s="73">
        <v>2100</v>
      </c>
      <c r="T157" s="73" t="s">
        <v>631</v>
      </c>
      <c r="U157" s="73">
        <v>500</v>
      </c>
      <c r="V157" s="73">
        <v>1</v>
      </c>
    </row>
    <row r="158" spans="1:22" ht="15.75" customHeight="1">
      <c r="A158" s="84">
        <v>507</v>
      </c>
      <c r="B158" s="85" t="s">
        <v>798</v>
      </c>
      <c r="C158" s="74" t="s">
        <v>190</v>
      </c>
      <c r="D158" s="85"/>
      <c r="E158" s="85" t="s">
        <v>1317</v>
      </c>
      <c r="F158" s="84">
        <v>80</v>
      </c>
      <c r="G158" s="84">
        <f>J158*K158</f>
        <v>6.7200000000000006</v>
      </c>
      <c r="H158" s="84">
        <f>CEILING(G158*Резка!$B$4,10)</f>
        <v>680</v>
      </c>
      <c r="J158" s="73">
        <f t="shared" si="25"/>
        <v>4.2</v>
      </c>
      <c r="K158" s="84">
        <f>Настройки!$K$6</f>
        <v>1.6</v>
      </c>
      <c r="L158" s="73">
        <v>1</v>
      </c>
      <c r="M158" s="73">
        <v>0</v>
      </c>
      <c r="N158" s="73">
        <f t="shared" si="19"/>
        <v>0</v>
      </c>
      <c r="O158" s="73">
        <f t="shared" si="20"/>
        <v>0</v>
      </c>
      <c r="P158" s="73">
        <v>0</v>
      </c>
      <c r="Q158" s="73" t="s">
        <v>458</v>
      </c>
      <c r="S158" s="73">
        <v>2100</v>
      </c>
      <c r="T158" s="73" t="s">
        <v>631</v>
      </c>
      <c r="U158" s="73">
        <v>500</v>
      </c>
      <c r="V158" s="73">
        <v>1</v>
      </c>
    </row>
    <row r="159" spans="1:22" ht="24">
      <c r="A159" s="84">
        <v>508</v>
      </c>
      <c r="B159" s="85" t="s">
        <v>1005</v>
      </c>
      <c r="C159" s="74" t="s">
        <v>190</v>
      </c>
      <c r="D159" s="85"/>
      <c r="E159" s="85" t="s">
        <v>1004</v>
      </c>
      <c r="F159" s="84">
        <v>160</v>
      </c>
      <c r="G159" s="84">
        <f>J159*K159</f>
        <v>13.440000000000001</v>
      </c>
      <c r="H159" s="84">
        <f>CEILING(G159*Резка!$B$4,10)</f>
        <v>1350</v>
      </c>
      <c r="J159" s="73">
        <f t="shared" si="25"/>
        <v>8.4</v>
      </c>
      <c r="K159" s="84">
        <f>Настройки!$K$6</f>
        <v>1.6</v>
      </c>
      <c r="L159" s="73">
        <v>1</v>
      </c>
      <c r="M159" s="73">
        <v>0</v>
      </c>
      <c r="N159" s="73">
        <f t="shared" si="19"/>
        <v>0</v>
      </c>
      <c r="O159" s="73">
        <f t="shared" si="20"/>
        <v>0</v>
      </c>
      <c r="P159" s="73">
        <v>0</v>
      </c>
      <c r="Q159" s="73" t="s">
        <v>458</v>
      </c>
      <c r="S159" s="73">
        <v>2100</v>
      </c>
      <c r="T159" s="73" t="s">
        <v>631</v>
      </c>
      <c r="U159" s="73">
        <v>250</v>
      </c>
      <c r="V159" s="73">
        <v>1</v>
      </c>
    </row>
    <row r="160" spans="1:22" ht="15.75" customHeight="1">
      <c r="A160" s="86">
        <v>550</v>
      </c>
      <c r="B160" s="88" t="s">
        <v>210</v>
      </c>
      <c r="C160" s="74" t="s">
        <v>190</v>
      </c>
      <c r="D160" s="74"/>
      <c r="E160" s="74" t="s">
        <v>217</v>
      </c>
      <c r="F160" s="86">
        <v>120</v>
      </c>
      <c r="G160" s="84">
        <f>CEILING(J160*K160,Настройки!$D$1)</f>
        <v>17.400000000000002</v>
      </c>
      <c r="H160" s="84">
        <f>CEILING(G160*Резка!$B$4,10)</f>
        <v>1740</v>
      </c>
      <c r="J160" s="73">
        <f t="shared" si="25"/>
        <v>10.861111111111111</v>
      </c>
      <c r="K160" s="84">
        <f>Настройки!$K$6</f>
        <v>1.6</v>
      </c>
      <c r="L160" s="73">
        <v>1</v>
      </c>
      <c r="M160" s="73">
        <v>0</v>
      </c>
      <c r="N160" s="73">
        <f t="shared" si="19"/>
        <v>0</v>
      </c>
      <c r="O160" s="73">
        <f t="shared" si="20"/>
        <v>0</v>
      </c>
      <c r="P160" s="73">
        <v>0</v>
      </c>
      <c r="Q160" s="73" t="s">
        <v>457</v>
      </c>
      <c r="S160" s="73">
        <v>0.85</v>
      </c>
      <c r="T160" s="73" t="s">
        <v>630</v>
      </c>
      <c r="U160" s="73">
        <v>9</v>
      </c>
      <c r="V160" s="73">
        <v>1</v>
      </c>
    </row>
    <row r="161" spans="1:22" ht="15.75" customHeight="1">
      <c r="A161" s="84">
        <v>600</v>
      </c>
      <c r="B161" s="85" t="s">
        <v>795</v>
      </c>
      <c r="C161" s="74" t="s">
        <v>330</v>
      </c>
      <c r="D161" s="85"/>
      <c r="E161" s="85" t="s">
        <v>215</v>
      </c>
      <c r="F161" s="84">
        <v>80</v>
      </c>
      <c r="G161" s="84">
        <f t="shared" si="24"/>
        <v>25.6</v>
      </c>
      <c r="H161" s="84">
        <f>CEILING(G161*Резка!$B$4,10)</f>
        <v>2560</v>
      </c>
      <c r="J161" s="73">
        <f t="shared" ref="J161:J166" si="26">IF(T161=$S$28,S161*$T$28/U161,IF(T161=$S$29,S161*$T$29/U161,S161/U161))</f>
        <v>16</v>
      </c>
      <c r="K161" s="84">
        <f>Настройки!$K$6</f>
        <v>1.6</v>
      </c>
      <c r="L161" s="73">
        <v>1</v>
      </c>
      <c r="M161" s="73">
        <v>0</v>
      </c>
      <c r="N161" s="73">
        <f t="shared" si="19"/>
        <v>0</v>
      </c>
      <c r="O161" s="73">
        <f t="shared" si="20"/>
        <v>0</v>
      </c>
      <c r="P161" s="73">
        <v>0</v>
      </c>
      <c r="Q161" s="73" t="s">
        <v>458</v>
      </c>
      <c r="S161" s="73">
        <v>1600</v>
      </c>
      <c r="T161" s="73" t="s">
        <v>631</v>
      </c>
      <c r="U161" s="73">
        <v>100</v>
      </c>
      <c r="V161" s="73">
        <v>1</v>
      </c>
    </row>
    <row r="162" spans="1:22" ht="15.75" customHeight="1">
      <c r="A162" s="84">
        <v>601</v>
      </c>
      <c r="B162" s="85" t="s">
        <v>1320</v>
      </c>
      <c r="C162" s="74" t="s">
        <v>330</v>
      </c>
      <c r="D162" s="85"/>
      <c r="E162" s="85" t="s">
        <v>215</v>
      </c>
      <c r="F162" s="84">
        <v>80</v>
      </c>
      <c r="G162" s="84">
        <f>J162*K162</f>
        <v>25.6</v>
      </c>
      <c r="H162" s="84">
        <f>CEILING(G162*Резка!$B$4,10)</f>
        <v>2560</v>
      </c>
      <c r="J162" s="73">
        <f t="shared" si="26"/>
        <v>16</v>
      </c>
      <c r="K162" s="84">
        <f>Настройки!$K$6</f>
        <v>1.6</v>
      </c>
      <c r="L162" s="73">
        <v>1</v>
      </c>
      <c r="M162" s="73">
        <v>0</v>
      </c>
      <c r="N162" s="73">
        <f>M162</f>
        <v>0</v>
      </c>
      <c r="O162" s="73">
        <f>M162</f>
        <v>0</v>
      </c>
      <c r="P162" s="73">
        <v>1</v>
      </c>
      <c r="Q162" s="73" t="s">
        <v>93</v>
      </c>
      <c r="S162" s="73">
        <v>800</v>
      </c>
      <c r="T162" s="73" t="s">
        <v>631</v>
      </c>
      <c r="U162" s="73">
        <v>50</v>
      </c>
      <c r="V162" s="73">
        <v>1</v>
      </c>
    </row>
    <row r="163" spans="1:22" ht="15.75" customHeight="1">
      <c r="A163" s="84">
        <v>602</v>
      </c>
      <c r="B163" s="85" t="s">
        <v>1320</v>
      </c>
      <c r="C163" s="74" t="s">
        <v>330</v>
      </c>
      <c r="D163" s="85"/>
      <c r="E163" s="85" t="s">
        <v>1319</v>
      </c>
      <c r="F163" s="84">
        <v>80</v>
      </c>
      <c r="G163" s="84">
        <f>J163*K163</f>
        <v>38.527999999999999</v>
      </c>
      <c r="H163" s="84">
        <f>CEILING(G163*Резка!$B$4,10)</f>
        <v>3860</v>
      </c>
      <c r="J163" s="73">
        <f t="shared" si="26"/>
        <v>24.08</v>
      </c>
      <c r="K163" s="84">
        <f>Настройки!$K$6</f>
        <v>1.6</v>
      </c>
      <c r="L163" s="73">
        <v>1</v>
      </c>
      <c r="M163" s="73">
        <v>0</v>
      </c>
      <c r="N163" s="73">
        <f>M163</f>
        <v>0</v>
      </c>
      <c r="O163" s="73">
        <f>M163</f>
        <v>0</v>
      </c>
      <c r="P163" s="73">
        <v>1</v>
      </c>
      <c r="Q163" s="73" t="s">
        <v>93</v>
      </c>
      <c r="S163" s="73">
        <v>1204</v>
      </c>
      <c r="T163" s="73" t="s">
        <v>631</v>
      </c>
      <c r="U163" s="73">
        <v>50</v>
      </c>
      <c r="V163" s="73">
        <v>1</v>
      </c>
    </row>
    <row r="164" spans="1:22" ht="15.75" customHeight="1">
      <c r="A164" s="84">
        <v>603</v>
      </c>
      <c r="B164" s="85" t="s">
        <v>1390</v>
      </c>
      <c r="C164" s="74" t="s">
        <v>330</v>
      </c>
      <c r="D164" s="85"/>
      <c r="E164" s="85" t="s">
        <v>215</v>
      </c>
      <c r="F164" s="84">
        <v>80</v>
      </c>
      <c r="G164" s="84">
        <f>J164*K164</f>
        <v>33.200000000000003</v>
      </c>
      <c r="H164" s="84">
        <f>CEILING(G164*Резка!$B$4,10)</f>
        <v>3320</v>
      </c>
      <c r="J164" s="73">
        <f t="shared" si="26"/>
        <v>20.75</v>
      </c>
      <c r="K164" s="84">
        <f>Настройки!$K$6</f>
        <v>1.6</v>
      </c>
      <c r="L164" s="73">
        <v>1</v>
      </c>
      <c r="M164" s="73">
        <v>0</v>
      </c>
      <c r="N164" s="73">
        <f>M164</f>
        <v>0</v>
      </c>
      <c r="O164" s="73">
        <f>M164</f>
        <v>0</v>
      </c>
      <c r="P164" s="73">
        <v>1</v>
      </c>
      <c r="Q164" s="73" t="s">
        <v>93</v>
      </c>
      <c r="S164" s="73">
        <v>415</v>
      </c>
      <c r="T164" s="73" t="s">
        <v>631</v>
      </c>
      <c r="U164" s="73">
        <v>20</v>
      </c>
      <c r="V164" s="73">
        <v>1</v>
      </c>
    </row>
    <row r="165" spans="1:22" ht="15.75" customHeight="1">
      <c r="A165" s="84">
        <v>650</v>
      </c>
      <c r="B165" s="85" t="s">
        <v>1216</v>
      </c>
      <c r="C165" s="74" t="s">
        <v>1222</v>
      </c>
      <c r="D165" s="85"/>
      <c r="E165" s="85" t="s">
        <v>1221</v>
      </c>
      <c r="F165" s="84">
        <v>80</v>
      </c>
      <c r="G165" s="84">
        <f>J165*K165</f>
        <v>96</v>
      </c>
      <c r="H165" s="84">
        <f>CEILING(G165*Резка!$B$4,10)</f>
        <v>9600</v>
      </c>
      <c r="J165" s="73">
        <f t="shared" si="26"/>
        <v>60</v>
      </c>
      <c r="K165" s="84">
        <f>Настройки!$K$6</f>
        <v>1.6</v>
      </c>
      <c r="L165" s="73">
        <v>1</v>
      </c>
      <c r="M165" s="73">
        <v>0</v>
      </c>
      <c r="N165" s="73">
        <f>M165</f>
        <v>0</v>
      </c>
      <c r="O165" s="73">
        <f>M165</f>
        <v>0</v>
      </c>
      <c r="P165" s="73">
        <v>0</v>
      </c>
      <c r="Q165" s="73" t="s">
        <v>458</v>
      </c>
      <c r="S165" s="73">
        <v>240</v>
      </c>
      <c r="T165" s="73" t="s">
        <v>631</v>
      </c>
      <c r="U165" s="73">
        <v>4</v>
      </c>
      <c r="V165" s="73">
        <v>50</v>
      </c>
    </row>
    <row r="166" spans="1:22" ht="15.75" customHeight="1">
      <c r="A166" s="84">
        <v>651</v>
      </c>
      <c r="B166" s="85" t="s">
        <v>1216</v>
      </c>
      <c r="C166" s="74" t="s">
        <v>1222</v>
      </c>
      <c r="D166" s="85"/>
      <c r="E166" s="85" t="s">
        <v>215</v>
      </c>
      <c r="F166" s="84">
        <v>80</v>
      </c>
      <c r="G166" s="84">
        <f>J166*K166</f>
        <v>240</v>
      </c>
      <c r="H166" s="84">
        <f>CEILING(G166*Резка!$B$4,10)</f>
        <v>24000</v>
      </c>
      <c r="J166" s="73">
        <f t="shared" si="26"/>
        <v>150</v>
      </c>
      <c r="K166" s="84">
        <f>Настройки!$K$6</f>
        <v>1.6</v>
      </c>
      <c r="L166" s="73">
        <v>1</v>
      </c>
      <c r="M166" s="73">
        <v>0</v>
      </c>
      <c r="N166" s="73">
        <v>0</v>
      </c>
      <c r="O166" s="73">
        <v>0</v>
      </c>
      <c r="P166" s="73">
        <v>0</v>
      </c>
      <c r="Q166" s="73" t="s">
        <v>458</v>
      </c>
      <c r="S166" s="73">
        <v>150</v>
      </c>
      <c r="T166" s="73" t="s">
        <v>631</v>
      </c>
      <c r="U166" s="73">
        <v>1</v>
      </c>
      <c r="V166" s="73">
        <v>80</v>
      </c>
    </row>
    <row r="167" spans="1:22" ht="15.75" customHeight="1">
      <c r="A167" s="84">
        <v>8479</v>
      </c>
      <c r="B167" s="85" t="s">
        <v>574</v>
      </c>
      <c r="G167" s="84"/>
      <c r="H167" s="84"/>
      <c r="K167" s="84"/>
    </row>
    <row r="168" spans="1:22" ht="15.75" customHeight="1">
      <c r="A168" s="84">
        <v>8480</v>
      </c>
      <c r="B168" s="85" t="s">
        <v>1159</v>
      </c>
      <c r="C168" s="74" t="s">
        <v>575</v>
      </c>
      <c r="E168" s="74" t="s">
        <v>215</v>
      </c>
      <c r="F168" s="74">
        <v>177</v>
      </c>
      <c r="G168" s="84">
        <f>CEILING(J168*K168,Настройки!$D$1)</f>
        <v>9.6000000000000014</v>
      </c>
      <c r="H168" s="84">
        <f>CEILING(G168*Резка!$B$4,10)</f>
        <v>960</v>
      </c>
      <c r="J168" s="73">
        <v>6</v>
      </c>
      <c r="K168" s="84">
        <f>Настройки!$K$6</f>
        <v>1.6</v>
      </c>
    </row>
    <row r="169" spans="1:22" ht="15.75" customHeight="1">
      <c r="A169" s="84">
        <v>8481</v>
      </c>
      <c r="B169" s="85" t="s">
        <v>1160</v>
      </c>
      <c r="C169" s="74" t="s">
        <v>575</v>
      </c>
      <c r="E169" s="74" t="s">
        <v>215</v>
      </c>
      <c r="F169" s="74">
        <v>178</v>
      </c>
      <c r="G169" s="84">
        <f>CEILING(J169*K169,Настройки!$D$1)</f>
        <v>16</v>
      </c>
      <c r="H169" s="84">
        <f>CEILING(G169*Резка!$B$4,10)</f>
        <v>1600</v>
      </c>
      <c r="J169" s="73">
        <v>10</v>
      </c>
      <c r="K169" s="84">
        <f>Настройки!$K$6</f>
        <v>1.6</v>
      </c>
    </row>
    <row r="170" spans="1:22" ht="15.75" customHeight="1">
      <c r="A170" s="84">
        <v>8482</v>
      </c>
      <c r="B170" s="85" t="s">
        <v>1161</v>
      </c>
      <c r="C170" s="74" t="s">
        <v>575</v>
      </c>
      <c r="E170" s="74" t="s">
        <v>215</v>
      </c>
      <c r="F170" s="74">
        <v>179</v>
      </c>
      <c r="G170" s="84">
        <f>CEILING(J170*K170,Настройки!$D$1)</f>
        <v>29.85</v>
      </c>
      <c r="H170" s="84">
        <f>CEILING(G170*Резка!$B$4,10)</f>
        <v>2990</v>
      </c>
      <c r="J170" s="73">
        <v>18.649999999999999</v>
      </c>
      <c r="K170" s="84">
        <f>Настройки!$K$6</f>
        <v>1.6</v>
      </c>
    </row>
    <row r="171" spans="1:22" ht="15.75" customHeight="1">
      <c r="A171" s="84">
        <v>8500</v>
      </c>
      <c r="B171" s="74" t="s">
        <v>210</v>
      </c>
      <c r="C171" s="74" t="s">
        <v>575</v>
      </c>
      <c r="D171" s="74"/>
      <c r="E171" s="74" t="s">
        <v>217</v>
      </c>
      <c r="F171" s="74">
        <v>180</v>
      </c>
      <c r="G171" s="84">
        <f>CEILING(J171*K171,Настройки!$D$1)</f>
        <v>147.20000000000002</v>
      </c>
      <c r="H171" s="84">
        <f>CEILING(G171*Резка!$B$4,10)</f>
        <v>14720</v>
      </c>
      <c r="J171" s="73">
        <v>92</v>
      </c>
      <c r="K171" s="84">
        <f>Настройки!$K$6</f>
        <v>1.6</v>
      </c>
    </row>
    <row r="172" spans="1:22" ht="15.75" customHeight="1">
      <c r="A172" s="84">
        <v>8501</v>
      </c>
      <c r="B172" s="85" t="s">
        <v>210</v>
      </c>
      <c r="C172" s="74" t="s">
        <v>575</v>
      </c>
      <c r="D172" s="74"/>
      <c r="E172" s="74" t="s">
        <v>218</v>
      </c>
      <c r="F172" s="74">
        <v>180</v>
      </c>
      <c r="G172" s="84">
        <f>CEILING(J172*K172,Настройки!$D$1)</f>
        <v>147.20000000000002</v>
      </c>
      <c r="H172" s="84">
        <f>CEILING(G172*Резка!$B$4,10)</f>
        <v>14720</v>
      </c>
      <c r="J172" s="73">
        <v>92</v>
      </c>
      <c r="K172" s="84">
        <f>Настройки!$K$6</f>
        <v>1.6</v>
      </c>
    </row>
    <row r="173" spans="1:22" ht="15.75" customHeight="1">
      <c r="A173" s="84">
        <v>8502</v>
      </c>
      <c r="B173" s="85" t="s">
        <v>210</v>
      </c>
      <c r="C173" s="74" t="s">
        <v>575</v>
      </c>
      <c r="D173" s="74"/>
      <c r="E173" s="74" t="s">
        <v>230</v>
      </c>
      <c r="F173" s="74">
        <v>180</v>
      </c>
      <c r="G173" s="84">
        <f>CEILING(J173*K173,Настройки!$D$1)</f>
        <v>147.20000000000002</v>
      </c>
      <c r="H173" s="84">
        <f>CEILING(G173*Резка!$B$4,10)</f>
        <v>14720</v>
      </c>
      <c r="J173" s="73">
        <v>92</v>
      </c>
      <c r="K173" s="84">
        <f>Настройки!$K$6</f>
        <v>1.6</v>
      </c>
    </row>
    <row r="174" spans="1:22" ht="15.75" customHeight="1">
      <c r="A174" s="84"/>
      <c r="B174" s="85" t="s">
        <v>564</v>
      </c>
      <c r="C174" s="74"/>
      <c r="D174" s="85"/>
      <c r="E174" s="85"/>
      <c r="F174" s="84"/>
      <c r="G174" s="84"/>
      <c r="H174" s="84"/>
      <c r="L174" s="102" t="s">
        <v>569</v>
      </c>
      <c r="M174" s="73" t="s">
        <v>545</v>
      </c>
      <c r="N174" s="73" t="s">
        <v>568</v>
      </c>
      <c r="O174" s="73" t="s">
        <v>570</v>
      </c>
    </row>
    <row r="175" spans="1:22" ht="15.75" customHeight="1">
      <c r="A175" s="84">
        <v>8800</v>
      </c>
      <c r="B175" s="85" t="s">
        <v>573</v>
      </c>
      <c r="C175" s="74"/>
      <c r="D175" s="85"/>
      <c r="E175" s="85"/>
      <c r="F175" s="84"/>
      <c r="G175" s="84">
        <f>J175*Настройки!$O$9</f>
        <v>1312</v>
      </c>
      <c r="H175" s="84"/>
      <c r="J175" s="73">
        <v>656</v>
      </c>
      <c r="K175" s="84"/>
      <c r="L175" s="73">
        <v>20</v>
      </c>
      <c r="M175" s="73">
        <v>0.59499999999999997</v>
      </c>
      <c r="N175" s="73">
        <v>1.125</v>
      </c>
      <c r="P175" s="73" t="s">
        <v>623</v>
      </c>
    </row>
    <row r="176" spans="1:22" ht="15.75" customHeight="1">
      <c r="A176" s="84">
        <v>8801</v>
      </c>
      <c r="B176" s="85" t="s">
        <v>565</v>
      </c>
      <c r="C176" s="74"/>
      <c r="D176" s="85"/>
      <c r="E176" s="85"/>
      <c r="F176" s="84"/>
      <c r="G176" s="84">
        <f>J176*Настройки!$O$9</f>
        <v>1710</v>
      </c>
      <c r="H176" s="84"/>
      <c r="J176" s="73">
        <v>855</v>
      </c>
      <c r="K176" s="84"/>
      <c r="L176" s="73">
        <v>30</v>
      </c>
      <c r="M176" s="73">
        <v>0.6</v>
      </c>
      <c r="N176" s="73">
        <v>1.1000000000000001</v>
      </c>
      <c r="O176" s="73" t="s">
        <v>571</v>
      </c>
      <c r="P176" s="73" t="s">
        <v>623</v>
      </c>
    </row>
    <row r="177" spans="1:17" ht="15.75" customHeight="1">
      <c r="A177" s="84">
        <v>8802</v>
      </c>
      <c r="B177" s="85" t="s">
        <v>566</v>
      </c>
      <c r="C177" s="74"/>
      <c r="D177" s="85"/>
      <c r="E177" s="85"/>
      <c r="F177" s="84"/>
      <c r="G177" s="84">
        <f>J177*Настройки!$O$9</f>
        <v>1312</v>
      </c>
      <c r="H177" s="84"/>
      <c r="J177" s="73">
        <v>656</v>
      </c>
      <c r="K177" s="84"/>
      <c r="L177" s="73">
        <v>20</v>
      </c>
      <c r="M177" s="73">
        <v>0.62</v>
      </c>
      <c r="N177" s="73">
        <v>1.2</v>
      </c>
      <c r="P177" s="73" t="s">
        <v>624</v>
      </c>
    </row>
    <row r="178" spans="1:17" ht="15.75" customHeight="1">
      <c r="A178" s="84">
        <v>8803</v>
      </c>
      <c r="B178" s="85" t="s">
        <v>567</v>
      </c>
      <c r="C178" s="74"/>
      <c r="D178" s="85"/>
      <c r="E178" s="85"/>
      <c r="F178" s="84"/>
      <c r="G178" s="84">
        <f>J178*Настройки!$O$9</f>
        <v>2000</v>
      </c>
      <c r="H178" s="84"/>
      <c r="J178" s="73">
        <v>1000</v>
      </c>
      <c r="K178" s="84"/>
      <c r="L178" s="73">
        <v>30</v>
      </c>
      <c r="M178" s="73">
        <v>0.59499999999999997</v>
      </c>
      <c r="N178" s="73">
        <v>1.2</v>
      </c>
      <c r="O178" s="73" t="s">
        <v>571</v>
      </c>
      <c r="P178" s="73" t="s">
        <v>624</v>
      </c>
    </row>
    <row r="179" spans="1:17">
      <c r="A179" s="84"/>
      <c r="B179" s="85"/>
      <c r="C179" s="74"/>
      <c r="D179" s="85"/>
      <c r="E179" s="85"/>
      <c r="F179" s="84"/>
      <c r="G179" s="84"/>
      <c r="H179" s="84"/>
      <c r="K179" s="84"/>
    </row>
    <row r="180" spans="1:17">
      <c r="A180" s="73">
        <v>9000</v>
      </c>
      <c r="B180" s="73" t="s">
        <v>522</v>
      </c>
      <c r="G180" s="84" t="s">
        <v>523</v>
      </c>
      <c r="H180" s="84" t="s">
        <v>545</v>
      </c>
      <c r="I180" s="73" t="s">
        <v>343</v>
      </c>
      <c r="K180" s="84"/>
    </row>
    <row r="181" spans="1:17">
      <c r="A181" s="73">
        <v>9001</v>
      </c>
      <c r="B181" s="73" t="s">
        <v>520</v>
      </c>
      <c r="E181" s="73" t="s">
        <v>215</v>
      </c>
      <c r="F181" s="73" t="s">
        <v>521</v>
      </c>
      <c r="G181" s="84">
        <f>CEILING(J181*K181/(H181*I181),Настройки!$D$1)</f>
        <v>755.6</v>
      </c>
      <c r="H181" s="84">
        <v>1.5</v>
      </c>
      <c r="I181" s="73">
        <v>3</v>
      </c>
      <c r="J181" s="73">
        <v>1700</v>
      </c>
      <c r="K181" s="84">
        <v>2</v>
      </c>
      <c r="L181" s="73">
        <v>0</v>
      </c>
      <c r="M181" s="73">
        <v>0</v>
      </c>
      <c r="N181" s="73">
        <v>0</v>
      </c>
      <c r="O181" s="73">
        <v>0</v>
      </c>
      <c r="P181" s="73">
        <v>0</v>
      </c>
      <c r="Q181" s="73" t="s">
        <v>93</v>
      </c>
    </row>
    <row r="182" spans="1:17">
      <c r="A182" s="73">
        <v>9002</v>
      </c>
      <c r="B182" s="73" t="s">
        <v>520</v>
      </c>
      <c r="E182" s="73" t="s">
        <v>215</v>
      </c>
      <c r="F182" s="73" t="s">
        <v>524</v>
      </c>
      <c r="G182" s="84">
        <f>CEILING(J182*K182/(H182*I182),Настройки!$D$1)</f>
        <v>1533.3500000000001</v>
      </c>
      <c r="H182" s="84">
        <v>2</v>
      </c>
      <c r="I182" s="73">
        <v>3</v>
      </c>
      <c r="J182" s="73">
        <v>4600</v>
      </c>
      <c r="K182" s="84">
        <v>2</v>
      </c>
      <c r="L182" s="73">
        <v>0</v>
      </c>
      <c r="M182" s="73">
        <v>0</v>
      </c>
      <c r="N182" s="73">
        <v>0</v>
      </c>
      <c r="O182" s="73">
        <v>0</v>
      </c>
      <c r="P182" s="73">
        <v>0</v>
      </c>
      <c r="Q182" s="73" t="s">
        <v>93</v>
      </c>
    </row>
    <row r="183" spans="1:17">
      <c r="A183" s="73">
        <v>9003</v>
      </c>
      <c r="B183" s="73" t="s">
        <v>520</v>
      </c>
      <c r="E183" s="73" t="s">
        <v>525</v>
      </c>
      <c r="F183" s="73" t="s">
        <v>524</v>
      </c>
      <c r="G183" s="84">
        <f>CEILING(J183*K183/(H183*I183),Настройки!$D$1)</f>
        <v>3777.8</v>
      </c>
      <c r="H183" s="84">
        <v>1.5</v>
      </c>
      <c r="I183" s="73">
        <v>3</v>
      </c>
      <c r="J183" s="73">
        <v>8500</v>
      </c>
      <c r="K183" s="84">
        <v>2</v>
      </c>
      <c r="L183" s="73">
        <v>0</v>
      </c>
      <c r="M183" s="73">
        <v>0</v>
      </c>
      <c r="N183" s="73">
        <v>0</v>
      </c>
      <c r="O183" s="73">
        <v>0</v>
      </c>
      <c r="P183" s="73">
        <v>0</v>
      </c>
      <c r="Q183" s="73" t="s">
        <v>93</v>
      </c>
    </row>
    <row r="184" spans="1:17">
      <c r="A184" s="73">
        <v>9004</v>
      </c>
      <c r="B184" s="73" t="s">
        <v>520</v>
      </c>
      <c r="E184" s="73" t="s">
        <v>215</v>
      </c>
      <c r="F184" s="73" t="s">
        <v>526</v>
      </c>
      <c r="G184" s="84">
        <f>CEILING(J184*K184/(H184*I184),Настройки!$D$1)</f>
        <v>2500</v>
      </c>
      <c r="H184" s="84">
        <v>2</v>
      </c>
      <c r="I184" s="73">
        <v>3</v>
      </c>
      <c r="J184" s="73">
        <v>7500</v>
      </c>
      <c r="K184" s="84">
        <v>2</v>
      </c>
      <c r="L184" s="73">
        <v>0</v>
      </c>
      <c r="M184" s="73">
        <v>0</v>
      </c>
      <c r="N184" s="73">
        <v>0</v>
      </c>
      <c r="O184" s="73">
        <v>0</v>
      </c>
      <c r="P184" s="73">
        <v>0</v>
      </c>
      <c r="Q184" s="73" t="s">
        <v>93</v>
      </c>
    </row>
    <row r="185" spans="1:17">
      <c r="B185" s="73" t="s">
        <v>520</v>
      </c>
      <c r="E185" s="73" t="s">
        <v>215</v>
      </c>
      <c r="F185" s="73" t="s">
        <v>1308</v>
      </c>
      <c r="G185" s="84">
        <f>CEILING(J185*K185/(H185*I185),Настройки!$D$1)</f>
        <v>5166.7000000000007</v>
      </c>
      <c r="H185" s="84">
        <v>2</v>
      </c>
      <c r="I185" s="73">
        <v>3</v>
      </c>
      <c r="J185" s="73">
        <v>15500</v>
      </c>
      <c r="K185" s="84">
        <v>2</v>
      </c>
      <c r="L185" s="73">
        <v>0</v>
      </c>
      <c r="M185" s="73">
        <v>0</v>
      </c>
      <c r="N185" s="73">
        <v>0</v>
      </c>
      <c r="O185" s="73">
        <v>0</v>
      </c>
      <c r="P185" s="73">
        <v>0</v>
      </c>
      <c r="Q185" s="73" t="s">
        <v>93</v>
      </c>
    </row>
    <row r="186" spans="1:17">
      <c r="G186" s="84" t="s">
        <v>1229</v>
      </c>
      <c r="H186" s="84"/>
      <c r="K186" s="84"/>
    </row>
    <row r="187" spans="1:17">
      <c r="A187" s="73">
        <v>9100</v>
      </c>
      <c r="B187" s="73" t="s">
        <v>162</v>
      </c>
      <c r="D187" s="73" t="s">
        <v>719</v>
      </c>
      <c r="E187" s="73" t="s">
        <v>525</v>
      </c>
      <c r="F187" s="73" t="s">
        <v>721</v>
      </c>
      <c r="G187" s="84">
        <f>CEILING(J187*K187/I187/8*Настройки!$J$15,Настройки!$D$1)</f>
        <v>125</v>
      </c>
      <c r="H187" s="73">
        <v>0.62</v>
      </c>
      <c r="I187" s="73">
        <v>5</v>
      </c>
      <c r="J187" s="73">
        <v>2500</v>
      </c>
      <c r="K187" s="84">
        <v>2</v>
      </c>
    </row>
    <row r="188" spans="1:17">
      <c r="A188" s="73">
        <v>9101</v>
      </c>
      <c r="B188" s="73" t="s">
        <v>162</v>
      </c>
      <c r="D188" s="73" t="s">
        <v>719</v>
      </c>
      <c r="E188" s="73" t="s">
        <v>525</v>
      </c>
      <c r="F188" s="73" t="s">
        <v>720</v>
      </c>
      <c r="G188" s="84">
        <f>CEILING(J188*K188/I188/8*Настройки!$J$15,Настройки!$D$1)</f>
        <v>152.5</v>
      </c>
      <c r="H188" s="73">
        <v>0.62</v>
      </c>
      <c r="I188" s="73">
        <v>5</v>
      </c>
      <c r="J188" s="73">
        <v>3050</v>
      </c>
      <c r="K188" s="84">
        <v>2</v>
      </c>
    </row>
    <row r="189" spans="1:17">
      <c r="A189" s="73">
        <v>9102</v>
      </c>
      <c r="B189" s="73" t="s">
        <v>162</v>
      </c>
      <c r="D189" s="73" t="s">
        <v>719</v>
      </c>
      <c r="E189" s="73" t="s">
        <v>525</v>
      </c>
      <c r="F189" s="73" t="s">
        <v>1227</v>
      </c>
      <c r="G189" s="84">
        <f>CEILING(J189*K189/I189/8*Настройки!$J$15,Настройки!$D$1)</f>
        <v>192.5</v>
      </c>
      <c r="H189" s="73">
        <v>0.62</v>
      </c>
      <c r="I189" s="73">
        <v>5</v>
      </c>
      <c r="J189" s="73">
        <v>3850</v>
      </c>
      <c r="K189" s="84">
        <v>2</v>
      </c>
    </row>
    <row r="190" spans="1:17">
      <c r="A190" s="73">
        <v>9103</v>
      </c>
      <c r="B190" s="73" t="s">
        <v>162</v>
      </c>
      <c r="D190" s="73" t="s">
        <v>719</v>
      </c>
      <c r="E190" s="73" t="s">
        <v>525</v>
      </c>
      <c r="F190" s="73" t="s">
        <v>1228</v>
      </c>
      <c r="G190" s="84">
        <f>CEILING(J190*K190/I190/8*Настройки!$J$15,Настройки!$D$1)</f>
        <v>240</v>
      </c>
      <c r="H190" s="73">
        <v>0.62</v>
      </c>
      <c r="I190" s="73">
        <v>5</v>
      </c>
      <c r="J190" s="73">
        <v>4800</v>
      </c>
      <c r="K190" s="84">
        <v>2</v>
      </c>
    </row>
    <row r="191" spans="1:17">
      <c r="A191" s="73">
        <v>9110</v>
      </c>
      <c r="B191" s="73" t="s">
        <v>993</v>
      </c>
      <c r="G191" s="84">
        <f>('Изделия из пластика'!H3*1.25*J191)*K191</f>
        <v>0</v>
      </c>
      <c r="H191" s="73">
        <v>1.25</v>
      </c>
      <c r="J191" s="73">
        <v>1158</v>
      </c>
      <c r="K191" s="84">
        <v>1.6</v>
      </c>
    </row>
    <row r="192" spans="1:17">
      <c r="A192" s="73">
        <v>9400</v>
      </c>
      <c r="B192" s="73" t="s">
        <v>302</v>
      </c>
      <c r="C192" s="73" t="s">
        <v>600</v>
      </c>
      <c r="L192" s="73" t="s">
        <v>619</v>
      </c>
      <c r="M192" s="73" t="s">
        <v>599</v>
      </c>
      <c r="N192" s="73" t="s">
        <v>599</v>
      </c>
      <c r="O192" s="73" t="s">
        <v>598</v>
      </c>
      <c r="P192" s="73" t="s">
        <v>620</v>
      </c>
    </row>
    <row r="193" spans="1:16">
      <c r="A193" s="73">
        <v>9401</v>
      </c>
      <c r="B193" s="73" t="s">
        <v>577</v>
      </c>
      <c r="C193" s="73" t="s">
        <v>580</v>
      </c>
      <c r="G193" s="73">
        <f>CEILING(J193*K193,5)</f>
        <v>365</v>
      </c>
      <c r="J193" s="73">
        <v>228</v>
      </c>
      <c r="K193" s="73">
        <v>1.6</v>
      </c>
      <c r="L193" s="83" t="s">
        <v>126</v>
      </c>
      <c r="N193" s="73" t="s">
        <v>794</v>
      </c>
      <c r="O193" s="73">
        <v>1</v>
      </c>
      <c r="P193" s="73" t="s">
        <v>607</v>
      </c>
    </row>
    <row r="194" spans="1:16">
      <c r="A194" s="73">
        <v>9402</v>
      </c>
      <c r="B194" s="73" t="s">
        <v>581</v>
      </c>
      <c r="C194" s="73" t="s">
        <v>582</v>
      </c>
      <c r="G194" s="73">
        <f t="shared" ref="G194:G203" si="27">CEILING(J194*K194,5)</f>
        <v>290</v>
      </c>
      <c r="J194">
        <v>180</v>
      </c>
      <c r="K194" s="73">
        <v>1.6</v>
      </c>
      <c r="L194" s="83" t="s">
        <v>126</v>
      </c>
      <c r="M194" s="73" t="s">
        <v>584</v>
      </c>
      <c r="N194" s="73" t="s">
        <v>594</v>
      </c>
      <c r="O194" s="73">
        <v>1</v>
      </c>
      <c r="P194" s="73" t="s">
        <v>607</v>
      </c>
    </row>
    <row r="195" spans="1:16">
      <c r="A195" s="73">
        <v>9403</v>
      </c>
      <c r="B195" s="73" t="s">
        <v>581</v>
      </c>
      <c r="C195" s="73" t="s">
        <v>1276</v>
      </c>
      <c r="G195" s="73">
        <f t="shared" si="27"/>
        <v>165</v>
      </c>
      <c r="J195">
        <v>102</v>
      </c>
      <c r="K195" s="73">
        <v>1.6</v>
      </c>
      <c r="L195" s="83" t="s">
        <v>583</v>
      </c>
      <c r="M195" s="73" t="s">
        <v>584</v>
      </c>
      <c r="N195" s="73" t="s">
        <v>594</v>
      </c>
      <c r="O195" s="73">
        <v>1</v>
      </c>
      <c r="P195" s="73" t="s">
        <v>607</v>
      </c>
    </row>
    <row r="196" spans="1:16">
      <c r="A196" s="73">
        <v>9404</v>
      </c>
      <c r="B196" s="73" t="s">
        <v>581</v>
      </c>
      <c r="C196" s="73" t="s">
        <v>585</v>
      </c>
      <c r="G196" s="73">
        <f t="shared" si="27"/>
        <v>750</v>
      </c>
      <c r="J196">
        <v>467</v>
      </c>
      <c r="K196" s="73">
        <v>1.6</v>
      </c>
      <c r="L196" s="83" t="s">
        <v>126</v>
      </c>
      <c r="M196" s="73" t="s">
        <v>587</v>
      </c>
      <c r="N196" s="73" t="s">
        <v>594</v>
      </c>
      <c r="O196" s="73">
        <v>3</v>
      </c>
      <c r="P196" s="73" t="s">
        <v>607</v>
      </c>
    </row>
    <row r="197" spans="1:16">
      <c r="A197" s="73">
        <v>9405</v>
      </c>
      <c r="B197" s="73" t="s">
        <v>588</v>
      </c>
      <c r="C197" s="73" t="s">
        <v>785</v>
      </c>
      <c r="G197" s="73">
        <f t="shared" si="27"/>
        <v>615</v>
      </c>
      <c r="J197" s="73">
        <v>384</v>
      </c>
      <c r="K197" s="73">
        <v>1.6</v>
      </c>
      <c r="L197" s="83" t="s">
        <v>583</v>
      </c>
      <c r="M197" s="73" t="s">
        <v>584</v>
      </c>
      <c r="N197" s="73" t="s">
        <v>594</v>
      </c>
      <c r="O197" s="73">
        <v>1</v>
      </c>
      <c r="P197" s="73" t="s">
        <v>607</v>
      </c>
    </row>
    <row r="198" spans="1:16">
      <c r="A198" s="73">
        <v>9406</v>
      </c>
      <c r="B198" s="73" t="s">
        <v>601</v>
      </c>
      <c r="C198" s="73" t="s">
        <v>589</v>
      </c>
      <c r="G198" s="73">
        <f t="shared" si="27"/>
        <v>615</v>
      </c>
      <c r="J198" s="73">
        <v>384</v>
      </c>
      <c r="K198" s="73">
        <v>1.6</v>
      </c>
      <c r="L198" s="83" t="s">
        <v>583</v>
      </c>
      <c r="M198" s="73" t="s">
        <v>587</v>
      </c>
      <c r="N198" s="73" t="s">
        <v>594</v>
      </c>
      <c r="O198" s="73">
        <v>3</v>
      </c>
      <c r="P198" s="73" t="s">
        <v>607</v>
      </c>
    </row>
    <row r="199" spans="1:16">
      <c r="A199" s="73">
        <v>9407</v>
      </c>
      <c r="B199" s="73" t="s">
        <v>590</v>
      </c>
      <c r="C199" s="73" t="s">
        <v>591</v>
      </c>
      <c r="G199" s="73">
        <f t="shared" si="27"/>
        <v>575</v>
      </c>
      <c r="J199">
        <v>359</v>
      </c>
      <c r="K199" s="73">
        <v>1.6</v>
      </c>
      <c r="L199" s="83" t="s">
        <v>586</v>
      </c>
      <c r="M199" s="73" t="s">
        <v>587</v>
      </c>
      <c r="N199" s="73" t="s">
        <v>594</v>
      </c>
      <c r="O199" s="73">
        <v>4</v>
      </c>
      <c r="P199" s="73" t="s">
        <v>607</v>
      </c>
    </row>
    <row r="200" spans="1:16">
      <c r="A200" s="73">
        <v>9408</v>
      </c>
      <c r="B200" s="73" t="s">
        <v>593</v>
      </c>
      <c r="C200" s="73" t="s">
        <v>592</v>
      </c>
      <c r="G200" s="73">
        <f t="shared" si="27"/>
        <v>245</v>
      </c>
      <c r="J200">
        <v>153</v>
      </c>
      <c r="K200" s="73">
        <v>1.6</v>
      </c>
      <c r="L200" s="83" t="s">
        <v>126</v>
      </c>
      <c r="M200" s="73" t="s">
        <v>587</v>
      </c>
      <c r="N200" s="73" t="s">
        <v>594</v>
      </c>
      <c r="O200" s="73">
        <v>1</v>
      </c>
      <c r="P200" s="73" t="s">
        <v>607</v>
      </c>
    </row>
    <row r="201" spans="1:16">
      <c r="A201" s="73">
        <v>9409</v>
      </c>
      <c r="B201" s="73" t="s">
        <v>593</v>
      </c>
      <c r="C201" s="73" t="s">
        <v>595</v>
      </c>
      <c r="G201" s="73">
        <f t="shared" si="27"/>
        <v>130</v>
      </c>
      <c r="J201">
        <v>79</v>
      </c>
      <c r="K201" s="73">
        <v>1.6</v>
      </c>
      <c r="L201" s="83" t="s">
        <v>586</v>
      </c>
      <c r="M201" s="73" t="s">
        <v>587</v>
      </c>
      <c r="N201" s="73" t="s">
        <v>594</v>
      </c>
      <c r="O201" s="73">
        <v>1</v>
      </c>
      <c r="P201" s="73" t="s">
        <v>607</v>
      </c>
    </row>
    <row r="202" spans="1:16">
      <c r="A202" s="73">
        <v>9410</v>
      </c>
      <c r="B202" s="73" t="s">
        <v>596</v>
      </c>
      <c r="C202" s="73" t="s">
        <v>597</v>
      </c>
      <c r="G202" s="73">
        <f t="shared" si="27"/>
        <v>205</v>
      </c>
      <c r="J202" s="73">
        <v>128</v>
      </c>
      <c r="K202" s="73">
        <v>1.6</v>
      </c>
      <c r="L202" s="83" t="s">
        <v>602</v>
      </c>
      <c r="M202" s="73" t="s">
        <v>587</v>
      </c>
      <c r="N202" s="73" t="s">
        <v>603</v>
      </c>
      <c r="O202" s="73">
        <v>3</v>
      </c>
      <c r="P202" s="73" t="s">
        <v>608</v>
      </c>
    </row>
    <row r="203" spans="1:16">
      <c r="A203" s="73">
        <v>9411</v>
      </c>
      <c r="B203" s="73" t="s">
        <v>596</v>
      </c>
      <c r="C203" s="73" t="s">
        <v>604</v>
      </c>
      <c r="G203" s="73">
        <f t="shared" si="27"/>
        <v>225</v>
      </c>
      <c r="J203" s="73">
        <v>140</v>
      </c>
      <c r="K203" s="73">
        <v>1.6</v>
      </c>
      <c r="L203" s="83" t="s">
        <v>602</v>
      </c>
      <c r="M203" s="73" t="s">
        <v>587</v>
      </c>
      <c r="N203" s="73" t="s">
        <v>603</v>
      </c>
      <c r="O203" s="73">
        <v>4</v>
      </c>
      <c r="P203" s="73" t="s">
        <v>608</v>
      </c>
    </row>
    <row r="204" spans="1:16">
      <c r="A204" s="73">
        <v>9412</v>
      </c>
      <c r="B204" s="73" t="s">
        <v>596</v>
      </c>
      <c r="C204" s="73" t="s">
        <v>605</v>
      </c>
      <c r="G204" s="73">
        <f t="shared" ref="G204:G209" si="28">CEILING(J204*K204,5)</f>
        <v>235</v>
      </c>
      <c r="J204" s="73">
        <v>145</v>
      </c>
      <c r="K204" s="73">
        <v>1.6</v>
      </c>
      <c r="L204" s="83" t="s">
        <v>602</v>
      </c>
      <c r="M204" s="73" t="s">
        <v>587</v>
      </c>
      <c r="N204" s="73" t="s">
        <v>603</v>
      </c>
      <c r="O204" s="73">
        <v>4</v>
      </c>
    </row>
    <row r="205" spans="1:16">
      <c r="A205" s="73">
        <v>9413</v>
      </c>
      <c r="B205" s="73" t="s">
        <v>596</v>
      </c>
      <c r="C205" s="73" t="s">
        <v>606</v>
      </c>
      <c r="G205" s="73">
        <f t="shared" si="28"/>
        <v>410</v>
      </c>
      <c r="J205" s="73">
        <v>256</v>
      </c>
      <c r="K205" s="73">
        <v>1.6</v>
      </c>
      <c r="L205" s="83" t="s">
        <v>602</v>
      </c>
      <c r="M205" s="73" t="s">
        <v>587</v>
      </c>
      <c r="N205" s="73" t="s">
        <v>603</v>
      </c>
      <c r="O205" s="73">
        <v>6</v>
      </c>
      <c r="P205" s="73" t="s">
        <v>608</v>
      </c>
    </row>
    <row r="206" spans="1:16">
      <c r="A206" s="73">
        <v>9414</v>
      </c>
      <c r="B206" s="73" t="s">
        <v>596</v>
      </c>
      <c r="C206" s="73" t="s">
        <v>609</v>
      </c>
      <c r="G206" s="73">
        <f t="shared" si="28"/>
        <v>395</v>
      </c>
      <c r="J206" s="73">
        <v>246</v>
      </c>
      <c r="K206" s="73">
        <v>1.6</v>
      </c>
      <c r="L206" s="83" t="s">
        <v>602</v>
      </c>
      <c r="M206" s="73" t="s">
        <v>587</v>
      </c>
      <c r="N206" s="73" t="s">
        <v>603</v>
      </c>
      <c r="O206" s="73">
        <v>6</v>
      </c>
      <c r="P206" s="73" t="s">
        <v>607</v>
      </c>
    </row>
    <row r="207" spans="1:16">
      <c r="A207" s="73">
        <v>9415</v>
      </c>
      <c r="B207" s="73" t="s">
        <v>596</v>
      </c>
      <c r="C207" s="73" t="s">
        <v>610</v>
      </c>
      <c r="G207" s="73">
        <f t="shared" si="28"/>
        <v>220</v>
      </c>
      <c r="J207" s="73">
        <v>137</v>
      </c>
      <c r="K207" s="73">
        <v>1.6</v>
      </c>
      <c r="L207" s="83" t="s">
        <v>602</v>
      </c>
      <c r="M207" s="73" t="s">
        <v>587</v>
      </c>
      <c r="N207" s="73" t="s">
        <v>603</v>
      </c>
      <c r="O207" s="73">
        <v>4</v>
      </c>
    </row>
    <row r="208" spans="1:16">
      <c r="A208" s="73">
        <v>9416</v>
      </c>
      <c r="B208" s="73" t="s">
        <v>596</v>
      </c>
      <c r="C208" s="73" t="s">
        <v>611</v>
      </c>
      <c r="G208" s="73">
        <f t="shared" si="28"/>
        <v>80</v>
      </c>
      <c r="J208" s="73">
        <v>50</v>
      </c>
      <c r="K208" s="73">
        <v>1.6</v>
      </c>
      <c r="L208" s="83" t="s">
        <v>602</v>
      </c>
      <c r="M208" s="73" t="s">
        <v>584</v>
      </c>
      <c r="N208" s="73" t="s">
        <v>603</v>
      </c>
      <c r="O208" s="73">
        <v>1</v>
      </c>
      <c r="P208" s="73" t="s">
        <v>608</v>
      </c>
    </row>
    <row r="209" spans="1:16">
      <c r="A209" s="73">
        <v>9417</v>
      </c>
      <c r="B209" s="73" t="s">
        <v>596</v>
      </c>
      <c r="C209" s="73" t="s">
        <v>612</v>
      </c>
      <c r="G209" s="73">
        <f t="shared" si="28"/>
        <v>100</v>
      </c>
      <c r="J209" s="73">
        <v>60</v>
      </c>
      <c r="K209" s="73">
        <v>1.6</v>
      </c>
      <c r="L209" s="83" t="s">
        <v>602</v>
      </c>
      <c r="M209" s="73" t="s">
        <v>587</v>
      </c>
      <c r="N209" s="73" t="s">
        <v>603</v>
      </c>
      <c r="O209" s="73">
        <v>1</v>
      </c>
      <c r="P209" s="73" t="s">
        <v>608</v>
      </c>
    </row>
    <row r="210" spans="1:16">
      <c r="A210" s="73">
        <v>9418</v>
      </c>
      <c r="B210" s="73" t="s">
        <v>596</v>
      </c>
      <c r="C210" s="73" t="s">
        <v>613</v>
      </c>
      <c r="G210" s="73">
        <f t="shared" ref="G210:G217" si="29">CEILING(J210*K210,5)</f>
        <v>100</v>
      </c>
      <c r="J210" s="73">
        <v>60</v>
      </c>
      <c r="K210" s="73">
        <v>1.6</v>
      </c>
      <c r="L210" s="83" t="s">
        <v>602</v>
      </c>
      <c r="M210" s="73" t="s">
        <v>587</v>
      </c>
      <c r="N210" s="73" t="s">
        <v>603</v>
      </c>
      <c r="O210" s="73">
        <v>1</v>
      </c>
      <c r="P210" s="73" t="s">
        <v>608</v>
      </c>
    </row>
    <row r="211" spans="1:16">
      <c r="A211" s="73">
        <v>9419</v>
      </c>
      <c r="B211" s="73" t="s">
        <v>617</v>
      </c>
      <c r="C211" s="73" t="s">
        <v>614</v>
      </c>
      <c r="G211" s="73">
        <f t="shared" si="29"/>
        <v>125</v>
      </c>
      <c r="J211" s="73">
        <v>77</v>
      </c>
      <c r="K211" s="73">
        <v>1.6</v>
      </c>
      <c r="L211" s="83" t="s">
        <v>586</v>
      </c>
      <c r="M211" s="73" t="s">
        <v>587</v>
      </c>
      <c r="N211" s="73" t="s">
        <v>603</v>
      </c>
      <c r="O211" s="73">
        <v>1</v>
      </c>
      <c r="P211" s="73" t="s">
        <v>607</v>
      </c>
    </row>
    <row r="212" spans="1:16">
      <c r="A212" s="73">
        <v>9420</v>
      </c>
      <c r="B212" s="73" t="s">
        <v>615</v>
      </c>
      <c r="C212" s="73" t="s">
        <v>616</v>
      </c>
      <c r="G212" s="73">
        <f t="shared" si="29"/>
        <v>290</v>
      </c>
      <c r="J212" s="73">
        <v>180</v>
      </c>
      <c r="K212" s="73">
        <v>1.6</v>
      </c>
      <c r="L212" s="83" t="s">
        <v>583</v>
      </c>
      <c r="M212" s="73" t="s">
        <v>587</v>
      </c>
      <c r="N212" s="73" t="s">
        <v>603</v>
      </c>
      <c r="O212" s="73">
        <v>1</v>
      </c>
      <c r="P212" s="73" t="s">
        <v>607</v>
      </c>
    </row>
    <row r="213" spans="1:16">
      <c r="A213" s="73">
        <v>9421</v>
      </c>
      <c r="B213" t="s">
        <v>786</v>
      </c>
      <c r="C213" t="s">
        <v>790</v>
      </c>
      <c r="G213" s="73">
        <f t="shared" si="29"/>
        <v>130</v>
      </c>
      <c r="J213" s="73">
        <v>81</v>
      </c>
      <c r="K213" s="73">
        <v>1.6</v>
      </c>
      <c r="L213" s="73" t="s">
        <v>583</v>
      </c>
      <c r="M213" s="73" t="s">
        <v>584</v>
      </c>
      <c r="N213" s="73" t="s">
        <v>794</v>
      </c>
      <c r="O213" s="73">
        <v>1</v>
      </c>
      <c r="P213" s="73" t="s">
        <v>608</v>
      </c>
    </row>
    <row r="214" spans="1:16">
      <c r="A214" s="73">
        <v>9422</v>
      </c>
      <c r="B214" t="s">
        <v>787</v>
      </c>
      <c r="C214" t="s">
        <v>791</v>
      </c>
      <c r="G214" s="73">
        <f t="shared" si="29"/>
        <v>240</v>
      </c>
      <c r="J214" s="73">
        <v>147</v>
      </c>
      <c r="K214" s="73">
        <v>1.6</v>
      </c>
      <c r="L214" s="73" t="s">
        <v>126</v>
      </c>
      <c r="M214" s="73" t="s">
        <v>584</v>
      </c>
      <c r="N214" s="73" t="s">
        <v>794</v>
      </c>
      <c r="O214" s="73">
        <v>1</v>
      </c>
      <c r="P214" s="73" t="s">
        <v>608</v>
      </c>
    </row>
    <row r="215" spans="1:16">
      <c r="A215" s="73">
        <v>9423</v>
      </c>
      <c r="B215" s="73" t="s">
        <v>788</v>
      </c>
      <c r="C215" t="s">
        <v>792</v>
      </c>
      <c r="G215" s="73">
        <f t="shared" si="29"/>
        <v>540</v>
      </c>
      <c r="J215" s="73">
        <v>335</v>
      </c>
      <c r="K215" s="73">
        <v>1.6</v>
      </c>
      <c r="L215" s="73" t="s">
        <v>124</v>
      </c>
      <c r="M215" s="73" t="s">
        <v>584</v>
      </c>
      <c r="N215" s="73" t="s">
        <v>794</v>
      </c>
      <c r="O215" s="73">
        <v>1</v>
      </c>
      <c r="P215" s="73" t="s">
        <v>607</v>
      </c>
    </row>
    <row r="216" spans="1:16">
      <c r="A216" s="73">
        <v>9424</v>
      </c>
      <c r="B216" t="s">
        <v>789</v>
      </c>
      <c r="C216" t="s">
        <v>793</v>
      </c>
      <c r="G216" s="73">
        <f t="shared" si="29"/>
        <v>570</v>
      </c>
      <c r="J216" s="73">
        <v>355</v>
      </c>
      <c r="K216" s="73">
        <v>1.6</v>
      </c>
      <c r="L216" s="73" t="s">
        <v>124</v>
      </c>
      <c r="M216" s="73" t="s">
        <v>584</v>
      </c>
      <c r="N216" s="73" t="s">
        <v>794</v>
      </c>
      <c r="O216" s="73">
        <v>1</v>
      </c>
      <c r="P216" s="73" t="s">
        <v>608</v>
      </c>
    </row>
    <row r="217" spans="1:16">
      <c r="A217" s="73">
        <v>9425</v>
      </c>
      <c r="B217" s="73" t="s">
        <v>581</v>
      </c>
      <c r="C217" s="73" t="s">
        <v>829</v>
      </c>
      <c r="G217" s="73">
        <f t="shared" si="29"/>
        <v>260</v>
      </c>
      <c r="J217">
        <v>162</v>
      </c>
      <c r="K217" s="73">
        <v>1.6</v>
      </c>
      <c r="L217" s="83" t="s">
        <v>126</v>
      </c>
      <c r="M217" s="73" t="s">
        <v>584</v>
      </c>
      <c r="N217" s="73" t="s">
        <v>594</v>
      </c>
      <c r="O217" s="73">
        <v>1</v>
      </c>
      <c r="P217" s="73" t="s">
        <v>607</v>
      </c>
    </row>
    <row r="218" spans="1:16">
      <c r="A218" s="73">
        <v>9426</v>
      </c>
      <c r="B218" s="73" t="s">
        <v>831</v>
      </c>
      <c r="C218" s="73" t="s">
        <v>1277</v>
      </c>
      <c r="G218" s="73">
        <f>CEILING(J218*K218,5)</f>
        <v>175</v>
      </c>
      <c r="J218">
        <v>107</v>
      </c>
      <c r="K218" s="73">
        <v>1.6</v>
      </c>
      <c r="L218" s="83" t="s">
        <v>586</v>
      </c>
      <c r="M218" s="73" t="s">
        <v>584</v>
      </c>
      <c r="N218" s="73" t="s">
        <v>594</v>
      </c>
      <c r="O218" s="73">
        <v>1</v>
      </c>
      <c r="P218" s="73" t="s">
        <v>607</v>
      </c>
    </row>
    <row r="219" spans="1:16">
      <c r="A219" s="73">
        <v>9427</v>
      </c>
      <c r="B219" s="73" t="s">
        <v>830</v>
      </c>
      <c r="C219" s="73" t="s">
        <v>832</v>
      </c>
      <c r="G219" s="73">
        <f t="shared" ref="G219:G233" si="30">CEILING(J219*K219,5)</f>
        <v>215</v>
      </c>
      <c r="J219">
        <v>132</v>
      </c>
      <c r="K219" s="73">
        <v>1.6</v>
      </c>
      <c r="L219" s="83" t="s">
        <v>583</v>
      </c>
      <c r="M219" s="73" t="s">
        <v>584</v>
      </c>
      <c r="N219" s="73" t="s">
        <v>594</v>
      </c>
      <c r="O219" s="73">
        <v>1</v>
      </c>
      <c r="P219" s="73" t="s">
        <v>607</v>
      </c>
    </row>
    <row r="220" spans="1:16">
      <c r="A220" s="73">
        <v>9428</v>
      </c>
      <c r="B220" s="73" t="s">
        <v>596</v>
      </c>
      <c r="C220" s="73" t="s">
        <v>833</v>
      </c>
      <c r="G220" s="73">
        <f t="shared" si="30"/>
        <v>235</v>
      </c>
      <c r="J220" s="73">
        <v>146</v>
      </c>
      <c r="K220" s="73">
        <v>1.6</v>
      </c>
      <c r="L220" s="83" t="s">
        <v>602</v>
      </c>
      <c r="M220" s="73" t="s">
        <v>587</v>
      </c>
      <c r="N220" s="73" t="s">
        <v>603</v>
      </c>
      <c r="O220" s="73">
        <v>4</v>
      </c>
      <c r="P220" s="73" t="s">
        <v>608</v>
      </c>
    </row>
    <row r="221" spans="1:16">
      <c r="A221" s="73">
        <v>9429</v>
      </c>
      <c r="B221" t="s">
        <v>1003</v>
      </c>
      <c r="C221" t="s">
        <v>1000</v>
      </c>
      <c r="G221" s="73">
        <f t="shared" si="30"/>
        <v>120</v>
      </c>
      <c r="J221" s="73">
        <v>73</v>
      </c>
      <c r="K221" s="73">
        <v>1.6</v>
      </c>
      <c r="L221" s="73" t="s">
        <v>583</v>
      </c>
      <c r="M221" s="73" t="s">
        <v>584</v>
      </c>
      <c r="N221" s="73" t="s">
        <v>794</v>
      </c>
      <c r="O221" s="73">
        <v>1</v>
      </c>
      <c r="P221" s="73" t="s">
        <v>607</v>
      </c>
    </row>
    <row r="222" spans="1:16">
      <c r="A222" s="73">
        <v>9500</v>
      </c>
      <c r="B222" s="73" t="s">
        <v>1012</v>
      </c>
      <c r="C222"/>
      <c r="G222" s="73">
        <f>CEILING(J222*K222,0.1)</f>
        <v>1.6</v>
      </c>
      <c r="J222" s="73">
        <v>1</v>
      </c>
      <c r="K222" s="73">
        <v>1.6</v>
      </c>
      <c r="L222" s="73" t="s">
        <v>1013</v>
      </c>
      <c r="M222" s="73" t="s">
        <v>584</v>
      </c>
      <c r="N222" s="73" t="s">
        <v>1014</v>
      </c>
      <c r="O222" s="73">
        <v>2</v>
      </c>
      <c r="P222" s="73" t="s">
        <v>607</v>
      </c>
    </row>
    <row r="223" spans="1:16">
      <c r="A223" s="73">
        <v>9800</v>
      </c>
      <c r="B223" s="73" t="s">
        <v>894</v>
      </c>
      <c r="C223" s="73" t="s">
        <v>895</v>
      </c>
      <c r="G223" s="73">
        <f t="shared" si="30"/>
        <v>165</v>
      </c>
      <c r="J223" s="73">
        <v>101</v>
      </c>
      <c r="K223" s="73">
        <v>1.6</v>
      </c>
      <c r="L223" s="73" t="s">
        <v>896</v>
      </c>
      <c r="M223" s="73" t="s">
        <v>906</v>
      </c>
      <c r="N223" s="73" t="s">
        <v>897</v>
      </c>
      <c r="O223" s="73">
        <v>1</v>
      </c>
      <c r="P223" s="73" t="s">
        <v>982</v>
      </c>
    </row>
    <row r="224" spans="1:16">
      <c r="A224" s="73">
        <v>9801</v>
      </c>
      <c r="B224" s="73" t="s">
        <v>894</v>
      </c>
      <c r="C224" s="73" t="s">
        <v>898</v>
      </c>
      <c r="G224" s="73">
        <f t="shared" si="30"/>
        <v>295</v>
      </c>
      <c r="J224" s="73">
        <v>184</v>
      </c>
      <c r="K224" s="73">
        <v>1.6</v>
      </c>
      <c r="L224" s="73" t="s">
        <v>896</v>
      </c>
      <c r="M224" s="73" t="s">
        <v>906</v>
      </c>
      <c r="N224" s="73" t="s">
        <v>897</v>
      </c>
      <c r="O224" s="73">
        <v>1</v>
      </c>
      <c r="P224" s="73" t="s">
        <v>982</v>
      </c>
    </row>
    <row r="225" spans="1:16">
      <c r="A225" s="73">
        <v>9802</v>
      </c>
      <c r="B225" s="73" t="s">
        <v>894</v>
      </c>
      <c r="C225" s="73" t="s">
        <v>899</v>
      </c>
      <c r="G225" s="73">
        <f t="shared" si="30"/>
        <v>535</v>
      </c>
      <c r="J225" s="73">
        <v>333</v>
      </c>
      <c r="K225" s="73">
        <v>1.6</v>
      </c>
      <c r="L225" s="73" t="s">
        <v>896</v>
      </c>
      <c r="M225" s="73" t="s">
        <v>906</v>
      </c>
      <c r="N225" s="73" t="s">
        <v>897</v>
      </c>
      <c r="O225" s="73">
        <v>1</v>
      </c>
      <c r="P225" s="73" t="s">
        <v>982</v>
      </c>
    </row>
    <row r="226" spans="1:16">
      <c r="A226" s="73">
        <v>9803</v>
      </c>
      <c r="B226" s="73" t="s">
        <v>894</v>
      </c>
      <c r="C226" s="73" t="s">
        <v>900</v>
      </c>
      <c r="G226" s="73">
        <f t="shared" si="30"/>
        <v>100</v>
      </c>
      <c r="J226" s="73">
        <v>60</v>
      </c>
      <c r="K226" s="73">
        <v>1.6</v>
      </c>
      <c r="L226" s="73" t="s">
        <v>896</v>
      </c>
      <c r="M226" s="73" t="s">
        <v>906</v>
      </c>
      <c r="N226" s="73" t="s">
        <v>897</v>
      </c>
      <c r="O226" s="73">
        <v>1</v>
      </c>
      <c r="P226" s="73" t="s">
        <v>982</v>
      </c>
    </row>
    <row r="227" spans="1:16">
      <c r="A227" s="73">
        <v>9804</v>
      </c>
      <c r="B227" s="73" t="s">
        <v>894</v>
      </c>
      <c r="C227" s="73" t="s">
        <v>902</v>
      </c>
      <c r="G227" s="73">
        <f t="shared" si="30"/>
        <v>235</v>
      </c>
      <c r="J227" s="73">
        <v>146</v>
      </c>
      <c r="K227" s="73">
        <v>1.6</v>
      </c>
      <c r="L227" s="73" t="s">
        <v>901</v>
      </c>
      <c r="M227" s="73" t="s">
        <v>906</v>
      </c>
      <c r="N227" s="73" t="s">
        <v>897</v>
      </c>
      <c r="O227" s="73">
        <v>1</v>
      </c>
      <c r="P227" s="73" t="s">
        <v>982</v>
      </c>
    </row>
    <row r="228" spans="1:16">
      <c r="A228" s="73">
        <v>9805</v>
      </c>
      <c r="B228" s="73" t="s">
        <v>894</v>
      </c>
      <c r="C228" s="73" t="s">
        <v>903</v>
      </c>
      <c r="G228" s="73">
        <f t="shared" si="30"/>
        <v>235</v>
      </c>
      <c r="J228" s="73">
        <v>146</v>
      </c>
      <c r="K228" s="73">
        <v>1.6</v>
      </c>
      <c r="L228" s="73" t="s">
        <v>901</v>
      </c>
      <c r="M228" s="73" t="s">
        <v>906</v>
      </c>
      <c r="N228" s="73" t="s">
        <v>897</v>
      </c>
      <c r="O228" s="73">
        <v>1</v>
      </c>
      <c r="P228" s="73" t="s">
        <v>982</v>
      </c>
    </row>
    <row r="229" spans="1:16">
      <c r="A229" s="73">
        <v>9806</v>
      </c>
      <c r="B229" s="73" t="s">
        <v>894</v>
      </c>
      <c r="C229" s="73" t="s">
        <v>898</v>
      </c>
      <c r="G229" s="73">
        <f t="shared" si="30"/>
        <v>465</v>
      </c>
      <c r="J229" s="73">
        <v>290</v>
      </c>
      <c r="K229" s="73">
        <v>1.6</v>
      </c>
      <c r="L229" s="73" t="s">
        <v>901</v>
      </c>
      <c r="M229" s="73" t="s">
        <v>906</v>
      </c>
      <c r="N229" s="73" t="s">
        <v>897</v>
      </c>
      <c r="O229" s="73">
        <v>1</v>
      </c>
      <c r="P229" s="73" t="s">
        <v>982</v>
      </c>
    </row>
    <row r="230" spans="1:16">
      <c r="A230" s="73">
        <v>9807</v>
      </c>
      <c r="B230" s="73" t="s">
        <v>894</v>
      </c>
      <c r="C230" s="73" t="s">
        <v>900</v>
      </c>
      <c r="G230" s="73">
        <f t="shared" si="30"/>
        <v>205</v>
      </c>
      <c r="J230" s="73">
        <v>128</v>
      </c>
      <c r="K230" s="73">
        <v>1.6</v>
      </c>
      <c r="L230" s="73" t="s">
        <v>901</v>
      </c>
      <c r="M230" s="73" t="s">
        <v>906</v>
      </c>
      <c r="N230" s="73" t="s">
        <v>897</v>
      </c>
      <c r="O230" s="73">
        <v>1</v>
      </c>
      <c r="P230" s="73" t="s">
        <v>982</v>
      </c>
    </row>
    <row r="231" spans="1:16">
      <c r="A231" s="73">
        <v>9808</v>
      </c>
      <c r="B231" s="73" t="s">
        <v>894</v>
      </c>
      <c r="C231" s="73" t="s">
        <v>899</v>
      </c>
      <c r="G231" s="73">
        <f t="shared" si="30"/>
        <v>755</v>
      </c>
      <c r="J231" s="73">
        <v>470</v>
      </c>
      <c r="K231" s="73">
        <v>1.6</v>
      </c>
      <c r="L231" s="73" t="s">
        <v>901</v>
      </c>
      <c r="M231" s="73" t="s">
        <v>906</v>
      </c>
      <c r="N231" s="73" t="s">
        <v>897</v>
      </c>
      <c r="O231" s="73">
        <v>1</v>
      </c>
      <c r="P231" s="73" t="s">
        <v>982</v>
      </c>
    </row>
    <row r="232" spans="1:16">
      <c r="A232" s="73">
        <v>9809</v>
      </c>
      <c r="B232" s="73" t="s">
        <v>894</v>
      </c>
      <c r="C232" s="73" t="s">
        <v>900</v>
      </c>
      <c r="G232" s="73">
        <f t="shared" si="30"/>
        <v>60</v>
      </c>
      <c r="J232" s="73">
        <v>35</v>
      </c>
      <c r="K232" s="73">
        <v>1.6</v>
      </c>
      <c r="L232" s="73" t="s">
        <v>904</v>
      </c>
      <c r="M232" s="73" t="s">
        <v>906</v>
      </c>
      <c r="N232" s="73" t="s">
        <v>897</v>
      </c>
      <c r="O232" s="73">
        <v>1</v>
      </c>
      <c r="P232" s="73" t="s">
        <v>982</v>
      </c>
    </row>
    <row r="233" spans="1:16">
      <c r="A233" s="73">
        <v>9810</v>
      </c>
      <c r="B233" s="73" t="s">
        <v>894</v>
      </c>
      <c r="C233" s="73" t="s">
        <v>900</v>
      </c>
      <c r="G233" s="73">
        <f t="shared" si="30"/>
        <v>30</v>
      </c>
      <c r="J233" s="73">
        <v>18</v>
      </c>
      <c r="K233" s="73">
        <v>1.6</v>
      </c>
      <c r="L233" s="73" t="s">
        <v>905</v>
      </c>
      <c r="M233" s="73" t="s">
        <v>906</v>
      </c>
      <c r="N233" s="73" t="s">
        <v>897</v>
      </c>
      <c r="O233" s="73">
        <v>1</v>
      </c>
      <c r="P233" s="73" t="s">
        <v>982</v>
      </c>
    </row>
    <row r="234" spans="1:16">
      <c r="A234" s="73">
        <v>11000</v>
      </c>
      <c r="B234" s="73" t="s">
        <v>977</v>
      </c>
      <c r="G234" s="73">
        <f t="shared" ref="G234:G239" si="31">CEILING(J234*K234,5)</f>
        <v>20</v>
      </c>
      <c r="J234" s="73">
        <v>9.6</v>
      </c>
      <c r="K234" s="73">
        <v>1.6</v>
      </c>
      <c r="L234" s="73" t="s">
        <v>979</v>
      </c>
      <c r="M234" s="73" t="s">
        <v>584</v>
      </c>
      <c r="N234" s="73" t="s">
        <v>978</v>
      </c>
      <c r="O234" s="73">
        <v>1</v>
      </c>
      <c r="P234" s="73" t="s">
        <v>982</v>
      </c>
    </row>
    <row r="235" spans="1:16">
      <c r="A235" s="73">
        <v>11001</v>
      </c>
      <c r="B235" s="73" t="s">
        <v>980</v>
      </c>
      <c r="C235" s="73" t="s">
        <v>989</v>
      </c>
      <c r="G235" s="73">
        <f t="shared" si="31"/>
        <v>20</v>
      </c>
      <c r="J235" s="73">
        <v>11</v>
      </c>
      <c r="K235" s="73">
        <v>1.6</v>
      </c>
      <c r="L235" s="73" t="s">
        <v>985</v>
      </c>
      <c r="M235" s="73" t="s">
        <v>981</v>
      </c>
      <c r="N235" s="73" t="s">
        <v>978</v>
      </c>
      <c r="O235" s="73">
        <v>1</v>
      </c>
      <c r="P235" s="73" t="s">
        <v>982</v>
      </c>
    </row>
    <row r="236" spans="1:16">
      <c r="A236" s="73">
        <v>11002</v>
      </c>
      <c r="B236" s="73" t="s">
        <v>980</v>
      </c>
      <c r="C236" s="73" t="s">
        <v>983</v>
      </c>
      <c r="G236" s="73">
        <f t="shared" si="31"/>
        <v>20</v>
      </c>
      <c r="J236" s="73">
        <v>11</v>
      </c>
      <c r="K236" s="73">
        <v>1.6</v>
      </c>
      <c r="L236" s="73" t="s">
        <v>984</v>
      </c>
      <c r="M236" s="73" t="s">
        <v>981</v>
      </c>
      <c r="N236" s="73" t="s">
        <v>978</v>
      </c>
      <c r="O236" s="73">
        <v>1</v>
      </c>
      <c r="P236" s="73" t="s">
        <v>982</v>
      </c>
    </row>
    <row r="237" spans="1:16">
      <c r="A237" s="73">
        <v>11003</v>
      </c>
      <c r="B237" s="73" t="s">
        <v>980</v>
      </c>
      <c r="C237" s="73" t="s">
        <v>990</v>
      </c>
      <c r="G237" s="73">
        <f t="shared" si="31"/>
        <v>50</v>
      </c>
      <c r="J237" s="73">
        <v>30</v>
      </c>
      <c r="K237" s="73">
        <v>1.6</v>
      </c>
      <c r="L237" s="73" t="s">
        <v>986</v>
      </c>
      <c r="M237" s="73" t="s">
        <v>981</v>
      </c>
      <c r="N237" s="73" t="s">
        <v>978</v>
      </c>
      <c r="O237" s="73">
        <v>1</v>
      </c>
      <c r="P237" s="73" t="s">
        <v>982</v>
      </c>
    </row>
    <row r="238" spans="1:16">
      <c r="A238" s="73">
        <v>11004</v>
      </c>
      <c r="B238" s="73" t="s">
        <v>980</v>
      </c>
      <c r="C238" s="73" t="s">
        <v>989</v>
      </c>
      <c r="G238" s="73">
        <f t="shared" si="31"/>
        <v>45</v>
      </c>
      <c r="J238" s="73">
        <v>28</v>
      </c>
      <c r="K238" s="73">
        <v>1.6</v>
      </c>
      <c r="L238" s="73" t="s">
        <v>986</v>
      </c>
      <c r="M238" s="73" t="s">
        <v>981</v>
      </c>
      <c r="N238" s="73" t="s">
        <v>978</v>
      </c>
      <c r="O238" s="73">
        <v>1</v>
      </c>
      <c r="P238" s="73" t="s">
        <v>982</v>
      </c>
    </row>
    <row r="239" spans="1:16">
      <c r="A239" s="73">
        <v>11005</v>
      </c>
      <c r="B239" s="73" t="s">
        <v>987</v>
      </c>
      <c r="C239" s="73" t="s">
        <v>989</v>
      </c>
      <c r="G239" s="73">
        <f t="shared" si="31"/>
        <v>320</v>
      </c>
      <c r="J239" s="73">
        <v>199</v>
      </c>
      <c r="K239" s="73">
        <v>1.6</v>
      </c>
      <c r="L239" s="73" t="s">
        <v>988</v>
      </c>
      <c r="M239" s="73" t="s">
        <v>981</v>
      </c>
      <c r="N239" s="73" t="s">
        <v>978</v>
      </c>
      <c r="O239" s="73">
        <v>1</v>
      </c>
      <c r="P239" s="73" t="s">
        <v>982</v>
      </c>
    </row>
    <row r="241" spans="1:16">
      <c r="A241" s="73">
        <v>12000</v>
      </c>
      <c r="B241" t="s">
        <v>302</v>
      </c>
      <c r="C241" t="s">
        <v>1042</v>
      </c>
      <c r="D241" t="s">
        <v>1043</v>
      </c>
      <c r="E241" t="s">
        <v>1044</v>
      </c>
      <c r="F241" t="s">
        <v>1045</v>
      </c>
      <c r="G241" t="s">
        <v>1046</v>
      </c>
      <c r="H241" t="s">
        <v>1047</v>
      </c>
      <c r="I241" s="237" t="s">
        <v>1311</v>
      </c>
      <c r="J241" t="s">
        <v>1048</v>
      </c>
      <c r="K241" s="73" t="s">
        <v>374</v>
      </c>
      <c r="L241" s="73" t="str">
        <f>Печать!H23</f>
        <v>Обложки ПВХ прозрачные, 0.15мм, А3, б/цв</v>
      </c>
      <c r="N241" s="83" t="s">
        <v>1134</v>
      </c>
      <c r="O241" s="238">
        <v>2</v>
      </c>
      <c r="P241" s="73">
        <f>SUM(K242:K313)</f>
        <v>21</v>
      </c>
    </row>
    <row r="242" spans="1:16">
      <c r="A242" s="73">
        <v>12001</v>
      </c>
      <c r="B242" t="s">
        <v>1135</v>
      </c>
      <c r="C242" t="s">
        <v>1049</v>
      </c>
      <c r="D242" t="s">
        <v>1050</v>
      </c>
      <c r="E242" t="s">
        <v>1051</v>
      </c>
      <c r="F242" t="s">
        <v>1052</v>
      </c>
      <c r="G242">
        <v>50</v>
      </c>
      <c r="H242">
        <v>2954</v>
      </c>
      <c r="I242" s="237">
        <v>5.04</v>
      </c>
      <c r="J242" t="s">
        <v>1053</v>
      </c>
      <c r="K242" s="239">
        <f>IF($L$241=B242,CEILING(Новинки!$P$5*Себестоимости!I242/Себестоимости!G242*$O$241,1),0)</f>
        <v>0</v>
      </c>
    </row>
    <row r="243" spans="1:16">
      <c r="A243" s="73">
        <v>12002</v>
      </c>
      <c r="B243" t="s">
        <v>1054</v>
      </c>
      <c r="C243" t="s">
        <v>1055</v>
      </c>
      <c r="D243" t="s">
        <v>1050</v>
      </c>
      <c r="E243" t="s">
        <v>1056</v>
      </c>
      <c r="F243" t="s">
        <v>1057</v>
      </c>
      <c r="G243">
        <v>100</v>
      </c>
      <c r="H243">
        <v>4375</v>
      </c>
      <c r="I243" s="237">
        <v>5.04</v>
      </c>
      <c r="J243" t="s">
        <v>1053</v>
      </c>
      <c r="K243" s="239">
        <f>IF($L$241=B243,CEILING(Новинки!$P$5*Себестоимости!I243/Себестоимости!G243*$O$241,1),0)</f>
        <v>0</v>
      </c>
    </row>
    <row r="244" spans="1:16">
      <c r="A244" s="73">
        <v>12003</v>
      </c>
      <c r="B244" t="s">
        <v>1136</v>
      </c>
      <c r="C244" t="s">
        <v>1058</v>
      </c>
      <c r="D244" t="s">
        <v>1050</v>
      </c>
      <c r="E244" t="s">
        <v>1051</v>
      </c>
      <c r="F244" t="s">
        <v>1057</v>
      </c>
      <c r="G244">
        <v>50</v>
      </c>
      <c r="H244">
        <v>2962</v>
      </c>
      <c r="I244" s="237">
        <v>5.09</v>
      </c>
      <c r="J244" t="s">
        <v>1059</v>
      </c>
      <c r="K244" s="239">
        <f>IF($L$241=B244,CEILING(Новинки!$P$5*Себестоимости!I244/Себестоимости!G244*$O$241,1),0)</f>
        <v>0</v>
      </c>
    </row>
    <row r="245" spans="1:16">
      <c r="A245" s="73">
        <v>12004</v>
      </c>
      <c r="B245" t="s">
        <v>1137</v>
      </c>
      <c r="C245" t="s">
        <v>1060</v>
      </c>
      <c r="D245" t="s">
        <v>1050</v>
      </c>
      <c r="E245" t="s">
        <v>1056</v>
      </c>
      <c r="F245" t="s">
        <v>1057</v>
      </c>
      <c r="G245">
        <v>50</v>
      </c>
      <c r="H245">
        <v>4425</v>
      </c>
      <c r="I245" s="237">
        <v>5.63</v>
      </c>
      <c r="J245" t="s">
        <v>1059</v>
      </c>
      <c r="K245" s="239">
        <f>IF($L$241=B245,CEILING(Новинки!$P$5*Себестоимости!I245/Себестоимости!G245*$O$241,1),0)</f>
        <v>0</v>
      </c>
    </row>
    <row r="246" spans="1:16">
      <c r="A246" s="73">
        <v>12005</v>
      </c>
      <c r="B246" t="s">
        <v>1138</v>
      </c>
      <c r="C246" t="s">
        <v>1060</v>
      </c>
      <c r="D246" t="s">
        <v>1050</v>
      </c>
      <c r="E246" t="s">
        <v>1061</v>
      </c>
      <c r="F246" t="s">
        <v>1057</v>
      </c>
      <c r="G246">
        <v>50</v>
      </c>
      <c r="H246">
        <v>4431</v>
      </c>
      <c r="I246" s="237">
        <v>5.63</v>
      </c>
      <c r="J246" t="s">
        <v>1059</v>
      </c>
      <c r="K246" s="239">
        <f>IF($L$241=B246,CEILING(Новинки!$P$5*Себестоимости!I246/Себестоимости!G246*$O$241,1),0)</f>
        <v>0</v>
      </c>
    </row>
    <row r="247" spans="1:16">
      <c r="A247" s="73">
        <v>12006</v>
      </c>
      <c r="B247" t="s">
        <v>1139</v>
      </c>
      <c r="C247" t="s">
        <v>1060</v>
      </c>
      <c r="D247" t="s">
        <v>1050</v>
      </c>
      <c r="E247" t="s">
        <v>1051</v>
      </c>
      <c r="F247" t="s">
        <v>1057</v>
      </c>
      <c r="G247">
        <v>50</v>
      </c>
      <c r="H247">
        <v>4428</v>
      </c>
      <c r="I247" s="237">
        <v>5.63</v>
      </c>
      <c r="J247" t="s">
        <v>1059</v>
      </c>
      <c r="K247" s="239">
        <f>IF($L$241=B247,CEILING(Новинки!$P$5*Себестоимости!I247/Себестоимости!G247*$O$241,1),0)</f>
        <v>0</v>
      </c>
    </row>
    <row r="248" spans="1:16">
      <c r="A248" s="73">
        <v>12007</v>
      </c>
      <c r="B248" t="s">
        <v>1140</v>
      </c>
      <c r="C248" t="s">
        <v>1060</v>
      </c>
      <c r="D248" t="s">
        <v>1050</v>
      </c>
      <c r="E248" t="s">
        <v>1062</v>
      </c>
      <c r="F248" t="s">
        <v>1057</v>
      </c>
      <c r="G248">
        <v>50</v>
      </c>
      <c r="H248">
        <v>4430</v>
      </c>
      <c r="I248" s="237">
        <v>5.63</v>
      </c>
      <c r="J248" t="s">
        <v>1059</v>
      </c>
      <c r="K248" s="239">
        <f>IF($L$241=B248,CEILING(Новинки!$P$5*Себестоимости!I248/Себестоимости!G248*$O$241,1),0)</f>
        <v>0</v>
      </c>
    </row>
    <row r="249" spans="1:16">
      <c r="A249" s="73">
        <v>12008</v>
      </c>
      <c r="B249" t="s">
        <v>1141</v>
      </c>
      <c r="C249" t="s">
        <v>1060</v>
      </c>
      <c r="D249" t="s">
        <v>1050</v>
      </c>
      <c r="E249" t="s">
        <v>1063</v>
      </c>
      <c r="F249" t="s">
        <v>1057</v>
      </c>
      <c r="G249">
        <v>50</v>
      </c>
      <c r="H249">
        <v>4426</v>
      </c>
      <c r="I249" s="237">
        <v>5.63</v>
      </c>
      <c r="J249" t="s">
        <v>1059</v>
      </c>
      <c r="K249" s="239">
        <f>IF($L$241=B249,CEILING(Новинки!$P$5*Себестоимости!I249/Себестоимости!G249*$O$241,1),0)</f>
        <v>0</v>
      </c>
    </row>
    <row r="250" spans="1:16">
      <c r="A250" s="73">
        <v>12009</v>
      </c>
      <c r="B250" t="s">
        <v>1142</v>
      </c>
      <c r="C250" t="s">
        <v>1060</v>
      </c>
      <c r="D250" t="s">
        <v>1050</v>
      </c>
      <c r="E250" t="s">
        <v>1064</v>
      </c>
      <c r="F250" t="s">
        <v>1057</v>
      </c>
      <c r="G250">
        <v>50</v>
      </c>
      <c r="H250">
        <v>4427</v>
      </c>
      <c r="I250" s="237">
        <v>5.63</v>
      </c>
      <c r="J250" t="s">
        <v>1059</v>
      </c>
      <c r="K250" s="239">
        <f>IF($L$241=B250,CEILING(Новинки!$P$5*Себестоимости!I250/Себестоимости!G250*$O$241,1),0)</f>
        <v>0</v>
      </c>
    </row>
    <row r="251" spans="1:16">
      <c r="A251" s="73">
        <v>12010</v>
      </c>
      <c r="B251" t="s">
        <v>1143</v>
      </c>
      <c r="C251" t="s">
        <v>1060</v>
      </c>
      <c r="D251" t="s">
        <v>1050</v>
      </c>
      <c r="E251" t="s">
        <v>1065</v>
      </c>
      <c r="F251" t="s">
        <v>1057</v>
      </c>
      <c r="G251">
        <v>50</v>
      </c>
      <c r="H251">
        <v>4429</v>
      </c>
      <c r="I251" s="237">
        <v>5.63</v>
      </c>
      <c r="J251" t="s">
        <v>1059</v>
      </c>
      <c r="K251" s="239">
        <f>IF($L$241=B251,CEILING(Новинки!$P$5*Себестоимости!I251/Себестоимости!G251*$O$241,1),0)</f>
        <v>0</v>
      </c>
    </row>
    <row r="252" spans="1:16">
      <c r="A252" s="73">
        <v>12011</v>
      </c>
      <c r="B252" t="s">
        <v>1144</v>
      </c>
      <c r="C252" t="s">
        <v>1060</v>
      </c>
      <c r="D252" t="s">
        <v>1050</v>
      </c>
      <c r="E252" t="s">
        <v>1066</v>
      </c>
      <c r="F252" t="s">
        <v>1052</v>
      </c>
      <c r="G252">
        <v>50</v>
      </c>
      <c r="H252">
        <v>4419</v>
      </c>
      <c r="I252" s="237">
        <v>5.75</v>
      </c>
      <c r="J252" t="s">
        <v>1053</v>
      </c>
      <c r="K252" s="239">
        <f>IF($L$241=B252,CEILING(Новинки!$P$5*Себестоимости!I252/Себестоимости!G252*$O$241,1),0)</f>
        <v>0</v>
      </c>
    </row>
    <row r="253" spans="1:16">
      <c r="A253" s="73">
        <v>12012</v>
      </c>
      <c r="B253" t="s">
        <v>1145</v>
      </c>
      <c r="C253" t="s">
        <v>1060</v>
      </c>
      <c r="D253" t="s">
        <v>1050</v>
      </c>
      <c r="E253" t="s">
        <v>1051</v>
      </c>
      <c r="F253" t="s">
        <v>1052</v>
      </c>
      <c r="G253">
        <v>50</v>
      </c>
      <c r="H253">
        <v>4421</v>
      </c>
      <c r="I253" s="237">
        <v>5.75</v>
      </c>
      <c r="J253" t="s">
        <v>1053</v>
      </c>
      <c r="K253" s="239">
        <f>IF($L$241=B253,CEILING(Новинки!$P$5*Себестоимости!I253/Себестоимости!G253*$O$241,1),0)</f>
        <v>0</v>
      </c>
    </row>
    <row r="254" spans="1:16">
      <c r="A254" s="73">
        <v>12013</v>
      </c>
      <c r="B254" t="s">
        <v>1146</v>
      </c>
      <c r="C254" t="s">
        <v>1060</v>
      </c>
      <c r="D254" t="s">
        <v>1050</v>
      </c>
      <c r="E254" t="s">
        <v>1062</v>
      </c>
      <c r="F254" t="s">
        <v>1052</v>
      </c>
      <c r="G254">
        <v>50</v>
      </c>
      <c r="H254">
        <v>4423</v>
      </c>
      <c r="I254" s="237">
        <v>5.75</v>
      </c>
      <c r="J254" t="s">
        <v>1053</v>
      </c>
      <c r="K254" s="239">
        <f>IF($L$241=B254,CEILING(Новинки!$P$5*Себестоимости!I254/Себестоимости!G254*$O$241,1),0)</f>
        <v>0</v>
      </c>
    </row>
    <row r="255" spans="1:16">
      <c r="A255" s="73">
        <v>12014</v>
      </c>
      <c r="B255" t="s">
        <v>1147</v>
      </c>
      <c r="C255" t="s">
        <v>1060</v>
      </c>
      <c r="D255" t="s">
        <v>1050</v>
      </c>
      <c r="E255" t="s">
        <v>1063</v>
      </c>
      <c r="F255" t="s">
        <v>1052</v>
      </c>
      <c r="G255">
        <v>50</v>
      </c>
      <c r="H255">
        <v>4420</v>
      </c>
      <c r="I255" s="237">
        <v>5.75</v>
      </c>
      <c r="J255" t="s">
        <v>1053</v>
      </c>
      <c r="K255" s="239">
        <f>IF($L$241=B255,CEILING(Новинки!$P$5*Себестоимости!I255/Себестоимости!G255*$O$241,1),0)</f>
        <v>0</v>
      </c>
    </row>
    <row r="256" spans="1:16">
      <c r="A256" s="73">
        <v>12015</v>
      </c>
      <c r="B256" t="s">
        <v>1148</v>
      </c>
      <c r="C256" t="s">
        <v>1060</v>
      </c>
      <c r="D256" t="s">
        <v>1050</v>
      </c>
      <c r="E256" t="s">
        <v>1065</v>
      </c>
      <c r="F256" t="s">
        <v>1052</v>
      </c>
      <c r="G256">
        <v>50</v>
      </c>
      <c r="H256">
        <v>4422</v>
      </c>
      <c r="I256" s="237">
        <v>5.75</v>
      </c>
      <c r="J256" t="s">
        <v>1053</v>
      </c>
      <c r="K256" s="239">
        <f>IF($L$241=B256,CEILING(Новинки!$P$5*Себестоимости!I256/Себестоимости!G256*$O$241,1),0)</f>
        <v>0</v>
      </c>
    </row>
    <row r="257" spans="1:11">
      <c r="A257" s="73">
        <v>12016</v>
      </c>
      <c r="B257" t="s">
        <v>1149</v>
      </c>
      <c r="C257" t="s">
        <v>1060</v>
      </c>
      <c r="D257" t="s">
        <v>1050</v>
      </c>
      <c r="E257" t="s">
        <v>1067</v>
      </c>
      <c r="F257" t="s">
        <v>1052</v>
      </c>
      <c r="G257">
        <v>50</v>
      </c>
      <c r="H257">
        <v>4424</v>
      </c>
      <c r="I257" s="237">
        <v>5.75</v>
      </c>
      <c r="J257" t="s">
        <v>1053</v>
      </c>
      <c r="K257" s="239">
        <f>IF($L$241=B257,CEILING(Новинки!$P$5*Себестоимости!I257/Себестоимости!G257*$O$241,1),0)</f>
        <v>0</v>
      </c>
    </row>
    <row r="258" spans="1:11">
      <c r="A258" s="73">
        <v>12017</v>
      </c>
      <c r="B258" t="s">
        <v>1150</v>
      </c>
      <c r="C258" t="s">
        <v>1060</v>
      </c>
      <c r="D258" t="s">
        <v>1050</v>
      </c>
      <c r="E258" t="s">
        <v>1068</v>
      </c>
      <c r="F258" t="s">
        <v>1052</v>
      </c>
      <c r="G258">
        <v>50</v>
      </c>
      <c r="H258">
        <v>5301</v>
      </c>
      <c r="I258" s="237">
        <v>5.75</v>
      </c>
      <c r="J258" t="s">
        <v>1053</v>
      </c>
      <c r="K258" s="239">
        <f>IF($L$241=B258,CEILING(Новинки!$P$5*Себестоимости!I258/Себестоимости!G258*$O$241,1),0)</f>
        <v>0</v>
      </c>
    </row>
    <row r="259" spans="1:11">
      <c r="A259" s="73">
        <v>12018</v>
      </c>
      <c r="B259" t="s">
        <v>1069</v>
      </c>
      <c r="C259" t="s">
        <v>1070</v>
      </c>
      <c r="D259" t="s">
        <v>1050</v>
      </c>
      <c r="E259" t="s">
        <v>1056</v>
      </c>
      <c r="F259" t="s">
        <v>1057</v>
      </c>
      <c r="G259">
        <v>100</v>
      </c>
      <c r="H259">
        <v>4376</v>
      </c>
      <c r="I259" s="237">
        <v>5.81</v>
      </c>
      <c r="J259" t="s">
        <v>1053</v>
      </c>
      <c r="K259" s="239">
        <f>IF($L$241=B259,CEILING(Новинки!$P$5*Себестоимости!I259/Себестоимости!G259*$O$241,1),0)</f>
        <v>0</v>
      </c>
    </row>
    <row r="260" spans="1:11">
      <c r="A260" s="73">
        <v>12019</v>
      </c>
      <c r="B260" t="s">
        <v>1151</v>
      </c>
      <c r="C260" t="s">
        <v>1060</v>
      </c>
      <c r="D260" t="s">
        <v>1050</v>
      </c>
      <c r="E260" t="s">
        <v>1056</v>
      </c>
      <c r="F260" t="s">
        <v>1057</v>
      </c>
      <c r="G260">
        <v>50</v>
      </c>
      <c r="H260"/>
      <c r="I260" s="237">
        <v>6.19</v>
      </c>
      <c r="J260" t="s">
        <v>1071</v>
      </c>
      <c r="K260" s="239">
        <f>IF($L$241=B260,CEILING(Новинки!$P$5*Себестоимости!I260/Себестоимости!G260*$O$241,1),0)</f>
        <v>0</v>
      </c>
    </row>
    <row r="261" spans="1:11">
      <c r="A261" s="73">
        <v>12020</v>
      </c>
      <c r="B261" t="s">
        <v>1152</v>
      </c>
      <c r="C261" t="s">
        <v>1060</v>
      </c>
      <c r="D261" t="s">
        <v>1050</v>
      </c>
      <c r="E261" t="s">
        <v>1062</v>
      </c>
      <c r="F261" t="s">
        <v>1057</v>
      </c>
      <c r="G261">
        <v>50</v>
      </c>
      <c r="H261">
        <v>4532</v>
      </c>
      <c r="I261" s="237">
        <v>6.19</v>
      </c>
      <c r="J261" t="s">
        <v>1071</v>
      </c>
      <c r="K261" s="239">
        <f>IF($L$241=B261,CEILING(Новинки!$P$5*Себестоимости!I261/Себестоимости!G261*$O$241,1),0)</f>
        <v>0</v>
      </c>
    </row>
    <row r="262" spans="1:11">
      <c r="A262" s="73">
        <v>12021</v>
      </c>
      <c r="B262" t="s">
        <v>1153</v>
      </c>
      <c r="C262" t="s">
        <v>1060</v>
      </c>
      <c r="D262" t="s">
        <v>1050</v>
      </c>
      <c r="E262" t="s">
        <v>1064</v>
      </c>
      <c r="F262" t="s">
        <v>1057</v>
      </c>
      <c r="G262">
        <v>50</v>
      </c>
      <c r="H262">
        <v>4531</v>
      </c>
      <c r="I262" s="237">
        <v>6.19</v>
      </c>
      <c r="J262" t="s">
        <v>1071</v>
      </c>
      <c r="K262" s="239">
        <f>IF($L$241=B262,CEILING(Новинки!$P$5*Себестоимости!I262/Себестоимости!G262*$O$241,1),0)</f>
        <v>0</v>
      </c>
    </row>
    <row r="263" spans="1:11">
      <c r="A263" s="73">
        <v>12022</v>
      </c>
      <c r="B263" t="s">
        <v>1154</v>
      </c>
      <c r="C263" t="s">
        <v>1060</v>
      </c>
      <c r="D263" t="s">
        <v>1050</v>
      </c>
      <c r="E263" t="s">
        <v>1065</v>
      </c>
      <c r="F263" t="s">
        <v>1057</v>
      </c>
      <c r="G263">
        <v>50</v>
      </c>
      <c r="H263">
        <v>4418</v>
      </c>
      <c r="I263" s="237">
        <v>6.19</v>
      </c>
      <c r="J263" t="s">
        <v>1071</v>
      </c>
      <c r="K263" s="239">
        <f>IF($L$241=B263,CEILING(Новинки!$P$5*Себестоимости!I263/Себестоимости!G263*$O$241,1),0)</f>
        <v>0</v>
      </c>
    </row>
    <row r="264" spans="1:11">
      <c r="A264" s="73">
        <v>12023</v>
      </c>
      <c r="B264" t="s">
        <v>1155</v>
      </c>
      <c r="C264" t="s">
        <v>1072</v>
      </c>
      <c r="D264" t="s">
        <v>1050</v>
      </c>
      <c r="E264" t="s">
        <v>1073</v>
      </c>
      <c r="F264" t="s">
        <v>1057</v>
      </c>
      <c r="G264">
        <v>50</v>
      </c>
      <c r="H264">
        <v>5440</v>
      </c>
      <c r="I264" s="237">
        <v>6.19</v>
      </c>
      <c r="J264" t="s">
        <v>1074</v>
      </c>
      <c r="K264" s="239">
        <f>IF($L$241=B264,CEILING(Новинки!$P$5*Себестоимости!I264/Себестоимости!G264*$O$241,1),0)</f>
        <v>0</v>
      </c>
    </row>
    <row r="265" spans="1:11">
      <c r="A265" s="73">
        <v>12024</v>
      </c>
      <c r="B265" t="s">
        <v>1156</v>
      </c>
      <c r="C265" t="s">
        <v>1060</v>
      </c>
      <c r="D265" t="s">
        <v>1075</v>
      </c>
      <c r="E265" t="s">
        <v>1051</v>
      </c>
      <c r="F265" t="s">
        <v>1057</v>
      </c>
      <c r="G265">
        <v>50</v>
      </c>
      <c r="H265">
        <v>7293</v>
      </c>
      <c r="I265" s="237">
        <v>6.19</v>
      </c>
      <c r="J265" t="s">
        <v>1074</v>
      </c>
      <c r="K265" s="239">
        <f>IF($L$241=B265,CEILING(Новинки!$P$5*Себестоимости!I265/Себестоимости!G265*$O$241,1),0)</f>
        <v>0</v>
      </c>
    </row>
    <row r="266" spans="1:11">
      <c r="A266" s="73">
        <v>12025</v>
      </c>
      <c r="B266" t="s">
        <v>1076</v>
      </c>
      <c r="C266" t="s">
        <v>1070</v>
      </c>
      <c r="D266" t="s">
        <v>1050</v>
      </c>
      <c r="E266" t="s">
        <v>1065</v>
      </c>
      <c r="F266" t="s">
        <v>1057</v>
      </c>
      <c r="G266">
        <v>100</v>
      </c>
      <c r="H266">
        <v>3644</v>
      </c>
      <c r="I266" s="237">
        <v>6.25</v>
      </c>
      <c r="J266" t="s">
        <v>1053</v>
      </c>
      <c r="K266" s="239">
        <f>IF($L$241=B266,CEILING(Новинки!$P$5*Себестоимости!I266/Себестоимости!G266*$O$241,1),0)</f>
        <v>0</v>
      </c>
    </row>
    <row r="267" spans="1:11">
      <c r="A267" s="73">
        <v>12026</v>
      </c>
      <c r="B267" t="s">
        <v>1077</v>
      </c>
      <c r="C267" t="s">
        <v>1070</v>
      </c>
      <c r="D267" t="s">
        <v>1050</v>
      </c>
      <c r="E267" t="s">
        <v>1062</v>
      </c>
      <c r="F267" t="s">
        <v>1057</v>
      </c>
      <c r="G267">
        <v>100</v>
      </c>
      <c r="H267">
        <v>3641</v>
      </c>
      <c r="I267" s="237">
        <v>6.25</v>
      </c>
      <c r="J267" t="s">
        <v>1053</v>
      </c>
      <c r="K267" s="239">
        <f>IF($L$241=B267,CEILING(Новинки!$P$5*Себестоимости!I267/Себестоимости!G267*$O$241,1),0)</f>
        <v>0</v>
      </c>
    </row>
    <row r="268" spans="1:11">
      <c r="A268" s="73">
        <v>12027</v>
      </c>
      <c r="B268" t="s">
        <v>1078</v>
      </c>
      <c r="C268" t="s">
        <v>1070</v>
      </c>
      <c r="D268" t="s">
        <v>1050</v>
      </c>
      <c r="E268" t="s">
        <v>1063</v>
      </c>
      <c r="F268" t="s">
        <v>1057</v>
      </c>
      <c r="G268">
        <v>100</v>
      </c>
      <c r="H268">
        <v>3643</v>
      </c>
      <c r="I268" s="237">
        <v>6.25</v>
      </c>
      <c r="J268" t="s">
        <v>1053</v>
      </c>
      <c r="K268" s="239">
        <f>IF($L$241=B268,CEILING(Новинки!$P$5*Себестоимости!I268/Себестоимости!G268*$O$241,1),0)</f>
        <v>0</v>
      </c>
    </row>
    <row r="269" spans="1:11">
      <c r="A269" s="73">
        <v>12028</v>
      </c>
      <c r="B269" t="s">
        <v>1079</v>
      </c>
      <c r="C269" t="s">
        <v>1070</v>
      </c>
      <c r="D269" t="s">
        <v>1050</v>
      </c>
      <c r="E269" t="s">
        <v>1080</v>
      </c>
      <c r="F269" t="s">
        <v>1057</v>
      </c>
      <c r="G269">
        <v>100</v>
      </c>
      <c r="H269">
        <v>3642</v>
      </c>
      <c r="I269" s="237">
        <v>6.25</v>
      </c>
      <c r="J269" t="s">
        <v>1053</v>
      </c>
      <c r="K269" s="239">
        <f>IF($L$241=B269,CEILING(Новинки!$P$5*Себестоимости!I269/Себестоимости!G269*$O$241,1),0)</f>
        <v>0</v>
      </c>
    </row>
    <row r="270" spans="1:11">
      <c r="A270" s="73">
        <v>12029</v>
      </c>
      <c r="B270" t="s">
        <v>1081</v>
      </c>
      <c r="C270" t="s">
        <v>1070</v>
      </c>
      <c r="D270" t="s">
        <v>1050</v>
      </c>
      <c r="E270" t="s">
        <v>1061</v>
      </c>
      <c r="F270" t="s">
        <v>1057</v>
      </c>
      <c r="G270">
        <v>100</v>
      </c>
      <c r="H270">
        <v>3685</v>
      </c>
      <c r="I270" s="237">
        <v>6.25</v>
      </c>
      <c r="J270" t="s">
        <v>1053</v>
      </c>
      <c r="K270" s="239">
        <f>IF($L$241=B270,CEILING(Новинки!$P$5*Себестоимости!I270/Себестоимости!G270*$O$241,1),0)</f>
        <v>0</v>
      </c>
    </row>
    <row r="271" spans="1:11">
      <c r="A271" s="73">
        <v>12030</v>
      </c>
      <c r="B271" t="s">
        <v>1082</v>
      </c>
      <c r="C271" t="s">
        <v>1070</v>
      </c>
      <c r="D271" t="s">
        <v>1050</v>
      </c>
      <c r="E271" t="s">
        <v>1051</v>
      </c>
      <c r="F271" t="s">
        <v>1057</v>
      </c>
      <c r="G271">
        <v>100</v>
      </c>
      <c r="H271">
        <v>3640</v>
      </c>
      <c r="I271" s="237">
        <v>6.25</v>
      </c>
      <c r="J271" t="s">
        <v>1053</v>
      </c>
      <c r="K271" s="239">
        <f>IF($L$241=B271,CEILING(Новинки!$P$5*Себестоимости!I271/Себестоимости!G271*$O$241,1),0)</f>
        <v>0</v>
      </c>
    </row>
    <row r="272" spans="1:11">
      <c r="A272" s="73">
        <v>12031</v>
      </c>
      <c r="B272" t="s">
        <v>1083</v>
      </c>
      <c r="C272" t="s">
        <v>1084</v>
      </c>
      <c r="D272" t="s">
        <v>1050</v>
      </c>
      <c r="E272" t="s">
        <v>1056</v>
      </c>
      <c r="F272" t="s">
        <v>1057</v>
      </c>
      <c r="G272">
        <v>100</v>
      </c>
      <c r="H272">
        <v>4377</v>
      </c>
      <c r="I272" s="237">
        <v>6.49</v>
      </c>
      <c r="J272" t="s">
        <v>1053</v>
      </c>
      <c r="K272" s="239">
        <f>IF($L$241=B272,CEILING(Новинки!$P$5*Себестоимости!I272/Себестоимости!G272*$O$241,1),0)</f>
        <v>0</v>
      </c>
    </row>
    <row r="273" spans="1:11">
      <c r="A273" s="73">
        <v>12032</v>
      </c>
      <c r="B273" t="s">
        <v>1085</v>
      </c>
      <c r="C273" t="s">
        <v>1070</v>
      </c>
      <c r="D273" t="s">
        <v>1050</v>
      </c>
      <c r="E273" t="s">
        <v>1056</v>
      </c>
      <c r="F273" t="s">
        <v>1057</v>
      </c>
      <c r="G273">
        <v>100</v>
      </c>
      <c r="H273">
        <v>4527</v>
      </c>
      <c r="I273" s="237">
        <v>6.66</v>
      </c>
      <c r="J273" t="s">
        <v>1074</v>
      </c>
      <c r="K273" s="239">
        <f>IF($L$241=B273,CEILING(Новинки!$P$5*Себестоимости!I273/Себестоимости!G273*$O$241,1),0)</f>
        <v>0</v>
      </c>
    </row>
    <row r="274" spans="1:11">
      <c r="A274" s="73">
        <v>12033</v>
      </c>
      <c r="B274" t="s">
        <v>1086</v>
      </c>
      <c r="C274" t="s">
        <v>1084</v>
      </c>
      <c r="D274" t="s">
        <v>1050</v>
      </c>
      <c r="E274" t="s">
        <v>1051</v>
      </c>
      <c r="F274" t="s">
        <v>1057</v>
      </c>
      <c r="G274">
        <v>100</v>
      </c>
      <c r="H274">
        <v>4412</v>
      </c>
      <c r="I274" s="237">
        <v>7</v>
      </c>
      <c r="J274" t="s">
        <v>1053</v>
      </c>
      <c r="K274" s="239">
        <f>IF($L$241=B274,CEILING(Новинки!$P$5*Себестоимости!I274/Себестоимости!G274*$O$241,1),0)</f>
        <v>0</v>
      </c>
    </row>
    <row r="275" spans="1:11">
      <c r="A275" s="73">
        <v>12034</v>
      </c>
      <c r="B275" t="s">
        <v>1087</v>
      </c>
      <c r="C275" t="s">
        <v>1084</v>
      </c>
      <c r="D275" t="s">
        <v>1050</v>
      </c>
      <c r="E275" t="s">
        <v>1062</v>
      </c>
      <c r="F275" t="s">
        <v>1057</v>
      </c>
      <c r="G275">
        <v>100</v>
      </c>
      <c r="H275">
        <v>4414</v>
      </c>
      <c r="I275" s="237">
        <v>7</v>
      </c>
      <c r="J275" t="s">
        <v>1053</v>
      </c>
      <c r="K275" s="239">
        <f>IF($L$241=B275,CEILING(Новинки!$P$5*Себестоимости!I275/Себестоимости!G275*$O$241,1),0)</f>
        <v>0</v>
      </c>
    </row>
    <row r="276" spans="1:11">
      <c r="A276" s="73">
        <v>12035</v>
      </c>
      <c r="B276" t="s">
        <v>1088</v>
      </c>
      <c r="C276" t="s">
        <v>1084</v>
      </c>
      <c r="D276" t="s">
        <v>1050</v>
      </c>
      <c r="E276" t="s">
        <v>1080</v>
      </c>
      <c r="F276" t="s">
        <v>1057</v>
      </c>
      <c r="G276">
        <v>100</v>
      </c>
      <c r="H276">
        <v>4416</v>
      </c>
      <c r="I276" s="237">
        <v>7</v>
      </c>
      <c r="J276" t="s">
        <v>1053</v>
      </c>
      <c r="K276" s="239">
        <f>IF($L$241=B276,CEILING(Новинки!$P$5*Себестоимости!I276/Себестоимости!G276*$O$241,1),0)</f>
        <v>0</v>
      </c>
    </row>
    <row r="277" spans="1:11">
      <c r="A277" s="73">
        <v>12036</v>
      </c>
      <c r="B277" t="s">
        <v>1089</v>
      </c>
      <c r="C277" t="s">
        <v>1084</v>
      </c>
      <c r="D277" t="s">
        <v>1050</v>
      </c>
      <c r="E277" t="s">
        <v>1063</v>
      </c>
      <c r="F277" t="s">
        <v>1057</v>
      </c>
      <c r="G277">
        <v>100</v>
      </c>
      <c r="H277">
        <v>4411</v>
      </c>
      <c r="I277" s="237">
        <v>7</v>
      </c>
      <c r="J277" t="s">
        <v>1053</v>
      </c>
      <c r="K277" s="239">
        <f>IF($L$241=B277,CEILING(Новинки!$P$5*Себестоимости!I277/Себестоимости!G277*$O$241,1),0)</f>
        <v>0</v>
      </c>
    </row>
    <row r="278" spans="1:11">
      <c r="A278" s="73">
        <v>12037</v>
      </c>
      <c r="B278" t="s">
        <v>1090</v>
      </c>
      <c r="C278" t="s">
        <v>1084</v>
      </c>
      <c r="D278" t="s">
        <v>1050</v>
      </c>
      <c r="E278" t="s">
        <v>1065</v>
      </c>
      <c r="F278" t="s">
        <v>1057</v>
      </c>
      <c r="G278">
        <v>100</v>
      </c>
      <c r="H278">
        <v>4413</v>
      </c>
      <c r="I278" s="237">
        <v>7</v>
      </c>
      <c r="J278" t="s">
        <v>1053</v>
      </c>
      <c r="K278" s="239">
        <f>IF($L$241=B278,CEILING(Новинки!$P$5*Себестоимости!I278/Себестоимости!G278*$O$241,1),0)</f>
        <v>0</v>
      </c>
    </row>
    <row r="279" spans="1:11">
      <c r="A279" s="73">
        <v>12038</v>
      </c>
      <c r="B279" t="s">
        <v>1091</v>
      </c>
      <c r="C279" t="s">
        <v>1084</v>
      </c>
      <c r="D279" t="s">
        <v>1050</v>
      </c>
      <c r="E279" t="s">
        <v>1061</v>
      </c>
      <c r="F279" t="s">
        <v>1057</v>
      </c>
      <c r="G279">
        <v>100</v>
      </c>
      <c r="H279">
        <v>4415</v>
      </c>
      <c r="I279" s="237">
        <v>7</v>
      </c>
      <c r="J279" t="s">
        <v>1053</v>
      </c>
      <c r="K279" s="239">
        <f>IF($L$241=B279,CEILING(Новинки!$P$5*Себестоимости!I279/Себестоимости!G279*$O$241,1),0)</f>
        <v>0</v>
      </c>
    </row>
    <row r="280" spans="1:11">
      <c r="A280" s="73">
        <v>12039</v>
      </c>
      <c r="B280" t="s">
        <v>1092</v>
      </c>
      <c r="C280" t="s">
        <v>1070</v>
      </c>
      <c r="D280" t="s">
        <v>1050</v>
      </c>
      <c r="E280" t="s">
        <v>1056</v>
      </c>
      <c r="F280" t="s">
        <v>1057</v>
      </c>
      <c r="G280">
        <v>100</v>
      </c>
      <c r="H280">
        <v>4385</v>
      </c>
      <c r="I280" s="237">
        <v>7.56</v>
      </c>
      <c r="J280" t="s">
        <v>1093</v>
      </c>
      <c r="K280" s="239">
        <f>IF($L$241=B280,CEILING(Новинки!$P$5*Себестоимости!I280/Себестоимости!G280*$O$241,1),0)</f>
        <v>0</v>
      </c>
    </row>
    <row r="281" spans="1:11">
      <c r="A281" s="73">
        <v>12040</v>
      </c>
      <c r="B281" t="s">
        <v>1094</v>
      </c>
      <c r="C281" t="s">
        <v>1070</v>
      </c>
      <c r="D281" t="s">
        <v>1050</v>
      </c>
      <c r="E281" t="s">
        <v>1061</v>
      </c>
      <c r="F281" t="s">
        <v>1057</v>
      </c>
      <c r="G281">
        <v>100</v>
      </c>
      <c r="H281">
        <v>4390</v>
      </c>
      <c r="I281" s="237">
        <v>7.56</v>
      </c>
      <c r="J281" t="s">
        <v>1093</v>
      </c>
      <c r="K281" s="239">
        <f>IF($L$241=B281,CEILING(Новинки!$P$5*Себестоимости!I281/Себестоимости!G281*$O$241,1),0)</f>
        <v>0</v>
      </c>
    </row>
    <row r="282" spans="1:11">
      <c r="A282" s="73">
        <v>12041</v>
      </c>
      <c r="B282" t="s">
        <v>1095</v>
      </c>
      <c r="C282" t="s">
        <v>1070</v>
      </c>
      <c r="D282" t="s">
        <v>1050</v>
      </c>
      <c r="E282" t="s">
        <v>1051</v>
      </c>
      <c r="F282" t="s">
        <v>1057</v>
      </c>
      <c r="G282">
        <v>100</v>
      </c>
      <c r="H282">
        <v>4387</v>
      </c>
      <c r="I282" s="237">
        <v>7.56</v>
      </c>
      <c r="J282" t="s">
        <v>1093</v>
      </c>
      <c r="K282" s="239">
        <f>IF($L$241=B282,CEILING(Новинки!$P$5*Себестоимости!I282/Себестоимости!G282*$O$241,1),0)</f>
        <v>0</v>
      </c>
    </row>
    <row r="283" spans="1:11">
      <c r="A283" s="73">
        <v>12042</v>
      </c>
      <c r="B283" t="s">
        <v>1096</v>
      </c>
      <c r="C283" t="s">
        <v>1070</v>
      </c>
      <c r="D283" t="s">
        <v>1050</v>
      </c>
      <c r="E283" t="s">
        <v>1062</v>
      </c>
      <c r="F283" t="s">
        <v>1057</v>
      </c>
      <c r="G283">
        <v>100</v>
      </c>
      <c r="H283">
        <v>4389</v>
      </c>
      <c r="I283" s="237">
        <v>7.56</v>
      </c>
      <c r="J283" t="s">
        <v>1093</v>
      </c>
      <c r="K283" s="239">
        <f>IF($L$241=B283,CEILING(Новинки!$P$5*Себестоимости!I283/Себестоимости!G283*$O$241,1),0)</f>
        <v>0</v>
      </c>
    </row>
    <row r="284" spans="1:11">
      <c r="A284" s="73">
        <v>12043</v>
      </c>
      <c r="B284" t="s">
        <v>1097</v>
      </c>
      <c r="C284" t="s">
        <v>1070</v>
      </c>
      <c r="D284" t="s">
        <v>1050</v>
      </c>
      <c r="E284" t="s">
        <v>1063</v>
      </c>
      <c r="F284" t="s">
        <v>1057</v>
      </c>
      <c r="G284">
        <v>100</v>
      </c>
      <c r="H284">
        <v>4386</v>
      </c>
      <c r="I284" s="237">
        <v>7.56</v>
      </c>
      <c r="J284" t="s">
        <v>1093</v>
      </c>
      <c r="K284" s="239">
        <f>IF($L$241=B284,CEILING(Новинки!$P$5*Себестоимости!I284/Себестоимости!G284*$O$241,1),0)</f>
        <v>0</v>
      </c>
    </row>
    <row r="285" spans="1:11">
      <c r="A285" s="73">
        <v>12044</v>
      </c>
      <c r="B285" t="s">
        <v>1098</v>
      </c>
      <c r="C285" t="s">
        <v>1070</v>
      </c>
      <c r="D285" t="s">
        <v>1050</v>
      </c>
      <c r="E285" t="s">
        <v>1065</v>
      </c>
      <c r="F285" t="s">
        <v>1057</v>
      </c>
      <c r="G285">
        <v>100</v>
      </c>
      <c r="H285">
        <v>4388</v>
      </c>
      <c r="I285" s="237">
        <v>7.56</v>
      </c>
      <c r="J285" t="s">
        <v>1093</v>
      </c>
      <c r="K285" s="239">
        <f>IF($L$241=B285,CEILING(Новинки!$P$5*Себестоимости!I285/Себестоимости!G285*$O$241,1),0)</f>
        <v>0</v>
      </c>
    </row>
    <row r="286" spans="1:11">
      <c r="A286" s="73">
        <v>12045</v>
      </c>
      <c r="B286" t="s">
        <v>1099</v>
      </c>
      <c r="C286" t="s">
        <v>1070</v>
      </c>
      <c r="D286" t="s">
        <v>1050</v>
      </c>
      <c r="E286" t="s">
        <v>1056</v>
      </c>
      <c r="F286" t="s">
        <v>1057</v>
      </c>
      <c r="G286">
        <v>100</v>
      </c>
      <c r="H286">
        <v>4391</v>
      </c>
      <c r="I286" s="237">
        <v>7.56</v>
      </c>
      <c r="J286" t="s">
        <v>1100</v>
      </c>
      <c r="K286" s="239">
        <f>IF($L$241=B286,CEILING(Новинки!$P$5*Себестоимости!I286/Себестоимости!G286*$O$241,1),0)</f>
        <v>0</v>
      </c>
    </row>
    <row r="287" spans="1:11">
      <c r="A287" s="73">
        <v>12046</v>
      </c>
      <c r="B287" t="s">
        <v>1101</v>
      </c>
      <c r="C287" t="s">
        <v>1070</v>
      </c>
      <c r="D287" t="s">
        <v>1050</v>
      </c>
      <c r="E287" t="s">
        <v>1102</v>
      </c>
      <c r="F287" t="s">
        <v>1057</v>
      </c>
      <c r="G287">
        <v>100</v>
      </c>
      <c r="H287">
        <v>4399</v>
      </c>
      <c r="I287" s="237">
        <v>7.56</v>
      </c>
      <c r="J287" t="s">
        <v>1100</v>
      </c>
      <c r="K287" s="239">
        <f>IF($L$241=B287,CEILING(Новинки!$P$5*Себестоимости!I287/Себестоимости!G287*$O$241,1),0)</f>
        <v>0</v>
      </c>
    </row>
    <row r="288" spans="1:11">
      <c r="A288" s="73">
        <v>12047</v>
      </c>
      <c r="B288" t="s">
        <v>1103</v>
      </c>
      <c r="C288" t="s">
        <v>1070</v>
      </c>
      <c r="D288" t="s">
        <v>1050</v>
      </c>
      <c r="E288" t="s">
        <v>1061</v>
      </c>
      <c r="F288" t="s">
        <v>1057</v>
      </c>
      <c r="G288">
        <v>100</v>
      </c>
      <c r="H288">
        <v>4396</v>
      </c>
      <c r="I288" s="237">
        <v>7.56</v>
      </c>
      <c r="J288" t="s">
        <v>1100</v>
      </c>
      <c r="K288" s="239">
        <f>IF($L$241=B288,CEILING(Новинки!$P$5*Себестоимости!I288/Себестоимости!G288*$O$241,1),0)</f>
        <v>0</v>
      </c>
    </row>
    <row r="289" spans="1:11">
      <c r="A289" s="73">
        <v>12048</v>
      </c>
      <c r="B289" t="s">
        <v>1104</v>
      </c>
      <c r="C289" t="s">
        <v>1070</v>
      </c>
      <c r="D289" t="s">
        <v>1050</v>
      </c>
      <c r="E289" t="s">
        <v>1051</v>
      </c>
      <c r="F289" t="s">
        <v>1057</v>
      </c>
      <c r="G289">
        <v>100</v>
      </c>
      <c r="H289">
        <v>4393</v>
      </c>
      <c r="I289" s="237">
        <v>7.56</v>
      </c>
      <c r="J289" t="s">
        <v>1100</v>
      </c>
      <c r="K289" s="239">
        <f>IF($L$241=B289,CEILING(Новинки!$P$5*Себестоимости!I289/Себестоимости!G289*$O$241,1),0)</f>
        <v>0</v>
      </c>
    </row>
    <row r="290" spans="1:11">
      <c r="A290" s="73">
        <v>12049</v>
      </c>
      <c r="B290" t="s">
        <v>1105</v>
      </c>
      <c r="C290" t="s">
        <v>1070</v>
      </c>
      <c r="D290" t="s">
        <v>1050</v>
      </c>
      <c r="E290" t="s">
        <v>1062</v>
      </c>
      <c r="F290" t="s">
        <v>1057</v>
      </c>
      <c r="G290">
        <v>100</v>
      </c>
      <c r="H290">
        <v>4395</v>
      </c>
      <c r="I290" s="237">
        <v>7.56</v>
      </c>
      <c r="J290" t="s">
        <v>1100</v>
      </c>
      <c r="K290" s="239">
        <f>IF($L$241=B290,CEILING(Новинки!$P$5*Себестоимости!I290/Себестоимости!G290*$O$241,1),0)</f>
        <v>0</v>
      </c>
    </row>
    <row r="291" spans="1:11">
      <c r="A291" s="73">
        <v>12050</v>
      </c>
      <c r="B291" t="s">
        <v>1106</v>
      </c>
      <c r="C291" t="s">
        <v>1070</v>
      </c>
      <c r="D291" t="s">
        <v>1050</v>
      </c>
      <c r="E291" t="s">
        <v>1080</v>
      </c>
      <c r="F291" t="s">
        <v>1057</v>
      </c>
      <c r="G291">
        <v>100</v>
      </c>
      <c r="H291">
        <v>4397</v>
      </c>
      <c r="I291" s="237">
        <v>7.56</v>
      </c>
      <c r="J291" t="s">
        <v>1100</v>
      </c>
      <c r="K291" s="239">
        <f>IF($L$241=B291,CEILING(Новинки!$P$5*Себестоимости!I291/Себестоимости!G291*$O$241,1),0)</f>
        <v>0</v>
      </c>
    </row>
    <row r="292" spans="1:11">
      <c r="A292" s="73">
        <v>12051</v>
      </c>
      <c r="B292" t="s">
        <v>1107</v>
      </c>
      <c r="C292" t="s">
        <v>1070</v>
      </c>
      <c r="D292" t="s">
        <v>1050</v>
      </c>
      <c r="E292" t="s">
        <v>1065</v>
      </c>
      <c r="F292" t="s">
        <v>1057</v>
      </c>
      <c r="G292">
        <v>100</v>
      </c>
      <c r="H292">
        <v>4394</v>
      </c>
      <c r="I292" s="237">
        <v>7.56</v>
      </c>
      <c r="J292" t="s">
        <v>1100</v>
      </c>
      <c r="K292" s="239">
        <f>IF($L$241=B292,CEILING(Новинки!$P$5*Себестоимости!I292/Себестоимости!G292*$O$241,1),0)</f>
        <v>0</v>
      </c>
    </row>
    <row r="293" spans="1:11">
      <c r="A293" s="73">
        <v>12052</v>
      </c>
      <c r="B293" t="s">
        <v>1108</v>
      </c>
      <c r="C293" t="s">
        <v>1070</v>
      </c>
      <c r="D293" t="s">
        <v>1050</v>
      </c>
      <c r="E293" t="s">
        <v>1063</v>
      </c>
      <c r="F293" t="s">
        <v>1057</v>
      </c>
      <c r="G293">
        <v>100</v>
      </c>
      <c r="H293">
        <v>4392</v>
      </c>
      <c r="I293" s="237">
        <v>7.56</v>
      </c>
      <c r="J293" t="s">
        <v>1100</v>
      </c>
      <c r="K293" s="239">
        <f>IF($L$241=B293,CEILING(Новинки!$P$5*Себестоимости!I293/Себестоимости!G293*$O$241,1),0)</f>
        <v>0</v>
      </c>
    </row>
    <row r="294" spans="1:11">
      <c r="A294" s="73">
        <v>12053</v>
      </c>
      <c r="B294" t="s">
        <v>1109</v>
      </c>
      <c r="C294" t="s">
        <v>1070</v>
      </c>
      <c r="D294" t="s">
        <v>1050</v>
      </c>
      <c r="E294" t="s">
        <v>1110</v>
      </c>
      <c r="F294" t="s">
        <v>1057</v>
      </c>
      <c r="G294">
        <v>100</v>
      </c>
      <c r="H294">
        <v>4398</v>
      </c>
      <c r="I294" s="237">
        <v>7.56</v>
      </c>
      <c r="J294" t="s">
        <v>1100</v>
      </c>
      <c r="K294" s="239">
        <f>IF($L$241=B294,CEILING(Новинки!$P$5*Себестоимости!I294/Себестоимости!G294*$O$241,1),0)</f>
        <v>0</v>
      </c>
    </row>
    <row r="295" spans="1:11">
      <c r="A295" s="73">
        <v>12054</v>
      </c>
      <c r="B295" t="s">
        <v>1111</v>
      </c>
      <c r="C295" t="s">
        <v>1112</v>
      </c>
      <c r="D295" t="s">
        <v>1050</v>
      </c>
      <c r="E295" t="s">
        <v>1056</v>
      </c>
      <c r="F295" t="s">
        <v>1057</v>
      </c>
      <c r="G295">
        <v>100</v>
      </c>
      <c r="H295">
        <v>4378</v>
      </c>
      <c r="I295" s="237">
        <v>8.06</v>
      </c>
      <c r="J295" t="s">
        <v>1053</v>
      </c>
      <c r="K295" s="239">
        <f>IF($L$241=B295,CEILING(Новинки!$P$5*Себестоимости!I295/Себестоимости!G295*$O$241,1),0)</f>
        <v>0</v>
      </c>
    </row>
    <row r="296" spans="1:11">
      <c r="A296" s="73">
        <v>12055</v>
      </c>
      <c r="B296" t="s">
        <v>1113</v>
      </c>
      <c r="C296" t="s">
        <v>1049</v>
      </c>
      <c r="D296" t="s">
        <v>1050</v>
      </c>
      <c r="E296" t="s">
        <v>1056</v>
      </c>
      <c r="F296" t="s">
        <v>1057</v>
      </c>
      <c r="G296">
        <v>100</v>
      </c>
      <c r="H296">
        <v>4379</v>
      </c>
      <c r="I296" s="237">
        <v>9.65</v>
      </c>
      <c r="J296" t="s">
        <v>1053</v>
      </c>
      <c r="K296" s="239">
        <f>IF($L$241=B296,CEILING(Новинки!$P$5*Себестоимости!I296/Себестоимости!G296*$O$241,1),0)</f>
        <v>0</v>
      </c>
    </row>
    <row r="297" spans="1:11">
      <c r="A297" s="73">
        <v>12056</v>
      </c>
      <c r="B297" t="s">
        <v>1114</v>
      </c>
      <c r="C297" t="s">
        <v>1055</v>
      </c>
      <c r="D297" t="s">
        <v>1115</v>
      </c>
      <c r="E297" t="s">
        <v>1056</v>
      </c>
      <c r="F297" t="s">
        <v>1057</v>
      </c>
      <c r="G297">
        <v>100</v>
      </c>
      <c r="H297">
        <v>4380</v>
      </c>
      <c r="I297" s="237">
        <v>9.76</v>
      </c>
      <c r="J297" t="s">
        <v>1053</v>
      </c>
      <c r="K297" s="239">
        <f>IF($L$241=B297,CEILING(Новинки!$P$5*Себестоимости!I297/Себестоимости!G297*$O$241,1),0)</f>
        <v>21</v>
      </c>
    </row>
    <row r="298" spans="1:11">
      <c r="A298" s="73">
        <v>12057</v>
      </c>
      <c r="B298" t="s">
        <v>1116</v>
      </c>
      <c r="C298" t="s">
        <v>1070</v>
      </c>
      <c r="D298" t="s">
        <v>1115</v>
      </c>
      <c r="E298" t="s">
        <v>1117</v>
      </c>
      <c r="F298" t="s">
        <v>1057</v>
      </c>
      <c r="G298">
        <v>100</v>
      </c>
      <c r="H298">
        <v>4381</v>
      </c>
      <c r="I298" s="237">
        <v>11.75</v>
      </c>
      <c r="J298" t="s">
        <v>1053</v>
      </c>
      <c r="K298" s="239">
        <f>IF($L$241=B298,CEILING(Новинки!$P$5*Себестоимости!I298/Себестоимости!G298*$O$241,1),0)</f>
        <v>0</v>
      </c>
    </row>
    <row r="299" spans="1:11">
      <c r="A299" s="73">
        <v>12058</v>
      </c>
      <c r="B299" t="s">
        <v>1118</v>
      </c>
      <c r="C299" t="s">
        <v>1084</v>
      </c>
      <c r="D299" t="s">
        <v>1115</v>
      </c>
      <c r="E299" t="s">
        <v>1056</v>
      </c>
      <c r="F299" t="s">
        <v>1057</v>
      </c>
      <c r="G299">
        <v>100</v>
      </c>
      <c r="H299">
        <v>4382</v>
      </c>
      <c r="I299" s="237">
        <v>12.96</v>
      </c>
      <c r="J299" t="s">
        <v>1053</v>
      </c>
      <c r="K299" s="239">
        <f>IF($L$241=B299,CEILING(Новинки!$P$5*Себестоимости!I299/Себестоимости!G299*$O$241,1),0)</f>
        <v>0</v>
      </c>
    </row>
    <row r="300" spans="1:11">
      <c r="A300" s="73">
        <v>12059</v>
      </c>
      <c r="B300" t="s">
        <v>1119</v>
      </c>
      <c r="C300" t="s">
        <v>1070</v>
      </c>
      <c r="D300" t="s">
        <v>1115</v>
      </c>
      <c r="E300" t="s">
        <v>1051</v>
      </c>
      <c r="F300" t="s">
        <v>1057</v>
      </c>
      <c r="G300">
        <v>100</v>
      </c>
      <c r="H300">
        <v>3507</v>
      </c>
      <c r="I300" s="237">
        <v>13.01</v>
      </c>
      <c r="J300" t="s">
        <v>1053</v>
      </c>
      <c r="K300" s="239">
        <f>IF($L$241=B300,CEILING(Новинки!$P$5*Себестоимости!I300/Себестоимости!G300*$O$241,1),0)</f>
        <v>0</v>
      </c>
    </row>
    <row r="301" spans="1:11">
      <c r="A301" s="73">
        <v>12060</v>
      </c>
      <c r="B301" t="s">
        <v>1120</v>
      </c>
      <c r="C301" t="s">
        <v>1070</v>
      </c>
      <c r="D301" t="s">
        <v>1115</v>
      </c>
      <c r="E301" t="s">
        <v>1061</v>
      </c>
      <c r="F301" t="s">
        <v>1057</v>
      </c>
      <c r="G301">
        <v>100</v>
      </c>
      <c r="H301">
        <v>4039</v>
      </c>
      <c r="I301" s="237">
        <v>13.01</v>
      </c>
      <c r="J301" t="s">
        <v>1053</v>
      </c>
      <c r="K301" s="239">
        <f>IF($L$241=B301,CEILING(Новинки!$P$5*Себестоимости!I301/Себестоимости!G301*$O$241,1),0)</f>
        <v>0</v>
      </c>
    </row>
    <row r="302" spans="1:11">
      <c r="A302" s="73">
        <v>12061</v>
      </c>
      <c r="B302" t="s">
        <v>1121</v>
      </c>
      <c r="C302" t="s">
        <v>1070</v>
      </c>
      <c r="D302" t="s">
        <v>1115</v>
      </c>
      <c r="E302" t="s">
        <v>1062</v>
      </c>
      <c r="F302" t="s">
        <v>1057</v>
      </c>
      <c r="G302">
        <v>100</v>
      </c>
      <c r="H302">
        <v>4403</v>
      </c>
      <c r="I302" s="237">
        <v>13.01</v>
      </c>
      <c r="J302" t="s">
        <v>1053</v>
      </c>
      <c r="K302" s="239">
        <f>IF($L$241=B302,CEILING(Новинки!$P$5*Себестоимости!I302/Себестоимости!G302*$O$241,1),0)</f>
        <v>0</v>
      </c>
    </row>
    <row r="303" spans="1:11">
      <c r="A303" s="73">
        <v>12062</v>
      </c>
      <c r="B303" t="s">
        <v>1122</v>
      </c>
      <c r="C303" t="s">
        <v>1070</v>
      </c>
      <c r="D303" t="s">
        <v>1115</v>
      </c>
      <c r="E303" t="s">
        <v>1063</v>
      </c>
      <c r="F303" t="s">
        <v>1057</v>
      </c>
      <c r="G303">
        <v>100</v>
      </c>
      <c r="H303">
        <v>4401</v>
      </c>
      <c r="I303" s="237">
        <v>13.01</v>
      </c>
      <c r="J303" t="s">
        <v>1053</v>
      </c>
      <c r="K303" s="239">
        <f>IF($L$241=B303,CEILING(Новинки!$P$5*Себестоимости!I303/Себестоимости!G303*$O$241,1),0)</f>
        <v>0</v>
      </c>
    </row>
    <row r="304" spans="1:11">
      <c r="A304" s="73">
        <v>12063</v>
      </c>
      <c r="B304" t="s">
        <v>1123</v>
      </c>
      <c r="C304" t="s">
        <v>1070</v>
      </c>
      <c r="D304" t="s">
        <v>1115</v>
      </c>
      <c r="E304" t="s">
        <v>1065</v>
      </c>
      <c r="F304" t="s">
        <v>1057</v>
      </c>
      <c r="G304">
        <v>100</v>
      </c>
      <c r="H304">
        <v>4402</v>
      </c>
      <c r="I304" s="237">
        <v>13.01</v>
      </c>
      <c r="J304" t="s">
        <v>1053</v>
      </c>
      <c r="K304" s="239">
        <f>IF($L$241=B304,CEILING(Новинки!$P$5*Себестоимости!I304/Себестоимости!G304*$O$241,1),0)</f>
        <v>0</v>
      </c>
    </row>
    <row r="305" spans="1:11">
      <c r="A305" s="73">
        <v>12064</v>
      </c>
      <c r="B305" t="s">
        <v>1124</v>
      </c>
      <c r="C305" t="s">
        <v>1070</v>
      </c>
      <c r="D305" t="s">
        <v>1115</v>
      </c>
      <c r="E305" t="s">
        <v>1080</v>
      </c>
      <c r="F305" t="s">
        <v>1057</v>
      </c>
      <c r="G305">
        <v>100</v>
      </c>
      <c r="H305">
        <v>4404</v>
      </c>
      <c r="I305" s="237">
        <v>13.01</v>
      </c>
      <c r="J305" t="s">
        <v>1053</v>
      </c>
      <c r="K305" s="239">
        <f>IF($L$241=B305,CEILING(Новинки!$P$5*Себестоимости!I305/Себестоимости!G305*$O$241,1),0)</f>
        <v>0</v>
      </c>
    </row>
    <row r="306" spans="1:11">
      <c r="A306" s="73">
        <v>12065</v>
      </c>
      <c r="B306" t="s">
        <v>1125</v>
      </c>
      <c r="C306" t="s">
        <v>1084</v>
      </c>
      <c r="D306" t="s">
        <v>1115</v>
      </c>
      <c r="E306" t="s">
        <v>1065</v>
      </c>
      <c r="F306" t="s">
        <v>1057</v>
      </c>
      <c r="G306">
        <v>100</v>
      </c>
      <c r="H306">
        <v>4410</v>
      </c>
      <c r="I306" s="237">
        <v>15.63</v>
      </c>
      <c r="J306" t="s">
        <v>1053</v>
      </c>
      <c r="K306" s="239">
        <f>IF($L$241=B306,CEILING(Новинки!$P$5*Себестоимости!I306/Себестоимости!G306*$O$241,1),0)</f>
        <v>0</v>
      </c>
    </row>
    <row r="307" spans="1:11">
      <c r="A307" s="73">
        <v>12066</v>
      </c>
      <c r="B307" t="s">
        <v>1126</v>
      </c>
      <c r="C307" t="s">
        <v>1084</v>
      </c>
      <c r="D307" t="s">
        <v>1115</v>
      </c>
      <c r="E307" t="s">
        <v>1061</v>
      </c>
      <c r="F307" t="s">
        <v>1057</v>
      </c>
      <c r="G307">
        <v>100</v>
      </c>
      <c r="H307">
        <v>4405</v>
      </c>
      <c r="I307" s="237">
        <v>15.63</v>
      </c>
      <c r="J307" t="s">
        <v>1053</v>
      </c>
      <c r="K307" s="239">
        <f>IF($L$241=B307,CEILING(Новинки!$P$5*Себестоимости!I307/Себестоимости!G307*$O$241,1),0)</f>
        <v>0</v>
      </c>
    </row>
    <row r="308" spans="1:11">
      <c r="A308" s="73">
        <v>12067</v>
      </c>
      <c r="B308" t="s">
        <v>1127</v>
      </c>
      <c r="C308" t="s">
        <v>1084</v>
      </c>
      <c r="D308" t="s">
        <v>1115</v>
      </c>
      <c r="E308" t="s">
        <v>1051</v>
      </c>
      <c r="F308" t="s">
        <v>1057</v>
      </c>
      <c r="G308">
        <v>100</v>
      </c>
      <c r="H308">
        <v>4406</v>
      </c>
      <c r="I308" s="237">
        <v>15.63</v>
      </c>
      <c r="J308" t="s">
        <v>1053</v>
      </c>
      <c r="K308" s="239">
        <f>IF($L$241=B308,CEILING(Новинки!$P$5*Себестоимости!I308/Себестоимости!G308*$O$241,1),0)</f>
        <v>0</v>
      </c>
    </row>
    <row r="309" spans="1:11">
      <c r="A309" s="73">
        <v>12068</v>
      </c>
      <c r="B309" t="s">
        <v>1128</v>
      </c>
      <c r="C309" t="s">
        <v>1084</v>
      </c>
      <c r="D309" t="s">
        <v>1115</v>
      </c>
      <c r="E309" t="s">
        <v>1062</v>
      </c>
      <c r="F309" t="s">
        <v>1057</v>
      </c>
      <c r="G309">
        <v>100</v>
      </c>
      <c r="H309">
        <v>4407</v>
      </c>
      <c r="I309" s="237">
        <v>15.63</v>
      </c>
      <c r="J309" t="s">
        <v>1053</v>
      </c>
      <c r="K309" s="239">
        <f>IF($L$241=B309,CEILING(Новинки!$P$5*Себестоимости!I309/Себестоимости!G309*$O$241,1),0)</f>
        <v>0</v>
      </c>
    </row>
    <row r="310" spans="1:11">
      <c r="A310" s="73">
        <v>12069</v>
      </c>
      <c r="B310" t="s">
        <v>1129</v>
      </c>
      <c r="C310" t="s">
        <v>1084</v>
      </c>
      <c r="D310" t="s">
        <v>1115</v>
      </c>
      <c r="E310" t="s">
        <v>1080</v>
      </c>
      <c r="F310" t="s">
        <v>1057</v>
      </c>
      <c r="G310">
        <v>100</v>
      </c>
      <c r="H310">
        <v>4408</v>
      </c>
      <c r="I310" s="237">
        <v>15.63</v>
      </c>
      <c r="J310" t="s">
        <v>1053</v>
      </c>
      <c r="K310" s="239">
        <f>IF($L$241=B310,CEILING(Новинки!$P$5*Себестоимости!I310/Себестоимости!G310*$O$241,1),0)</f>
        <v>0</v>
      </c>
    </row>
    <row r="311" spans="1:11">
      <c r="A311" s="73">
        <v>12070</v>
      </c>
      <c r="B311" t="s">
        <v>1130</v>
      </c>
      <c r="C311" t="s">
        <v>1084</v>
      </c>
      <c r="D311" t="s">
        <v>1115</v>
      </c>
      <c r="E311" t="s">
        <v>1063</v>
      </c>
      <c r="F311" t="s">
        <v>1057</v>
      </c>
      <c r="G311">
        <v>100</v>
      </c>
      <c r="H311">
        <v>4409</v>
      </c>
      <c r="I311" s="237">
        <v>15.63</v>
      </c>
      <c r="J311" t="s">
        <v>1053</v>
      </c>
      <c r="K311" s="239">
        <f>IF($L$241=B311,CEILING(Новинки!$P$5*Себестоимости!I311/Себестоимости!G311*$O$241,1),0)</f>
        <v>0</v>
      </c>
    </row>
    <row r="312" spans="1:11">
      <c r="A312" s="73">
        <v>12071</v>
      </c>
      <c r="B312" t="s">
        <v>1131</v>
      </c>
      <c r="C312" t="s">
        <v>1112</v>
      </c>
      <c r="D312" t="s">
        <v>1115</v>
      </c>
      <c r="E312" t="s">
        <v>1132</v>
      </c>
      <c r="F312" t="s">
        <v>1057</v>
      </c>
      <c r="G312">
        <v>100</v>
      </c>
      <c r="H312">
        <v>4383</v>
      </c>
      <c r="I312" s="237">
        <v>18.38</v>
      </c>
      <c r="J312" t="s">
        <v>1053</v>
      </c>
      <c r="K312" s="239">
        <f>IF($L$241=B312,CEILING(Новинки!$P$5*Себестоимости!I312/Себестоимости!G312*$O$241,1),0)</f>
        <v>0</v>
      </c>
    </row>
    <row r="313" spans="1:11">
      <c r="A313" s="73">
        <v>12072</v>
      </c>
      <c r="B313" t="s">
        <v>1133</v>
      </c>
      <c r="C313" t="s">
        <v>1049</v>
      </c>
      <c r="D313" t="s">
        <v>1115</v>
      </c>
      <c r="E313" t="s">
        <v>1056</v>
      </c>
      <c r="F313" t="s">
        <v>1057</v>
      </c>
      <c r="G313">
        <v>100</v>
      </c>
      <c r="H313">
        <v>4384</v>
      </c>
      <c r="I313" s="237">
        <v>20.37</v>
      </c>
      <c r="J313" t="s">
        <v>1053</v>
      </c>
      <c r="K313" s="239">
        <f>IF($L$241=B313,CEILING(Новинки!$P$5*Себестоимости!I313/Себестоимости!G313*$O$241,1),0)</f>
        <v>0</v>
      </c>
    </row>
  </sheetData>
  <dataValidations count="1">
    <dataValidation type="list" allowBlank="1" showInputMessage="1" showErrorMessage="1" sqref="T39:T166">
      <formula1>$P$21:$P$23</formula1>
    </dataValidation>
  </dataValidations>
  <hyperlinks>
    <hyperlink ref="X41" r:id="rId1"/>
  </hyperlinks>
  <pageMargins left="0.7" right="0.7" top="0.75" bottom="0.75" header="0.3" footer="0.3"/>
  <pageSetup paperSize="9" orientation="portrait" r:id="rId2"/>
  <ignoredErrors>
    <ignoredError sqref="D12 D10" formula="1"/>
  </ignoredErrors>
  <legacyDrawing r:id="rId3"/>
</worksheet>
</file>

<file path=xl/worksheets/sheet7.xml><?xml version="1.0" encoding="utf-8"?>
<worksheet xmlns="http://schemas.openxmlformats.org/spreadsheetml/2006/main" xmlns:r="http://schemas.openxmlformats.org/officeDocument/2006/relationships">
  <dimension ref="A1:Q70"/>
  <sheetViews>
    <sheetView topLeftCell="A16" workbookViewId="0">
      <selection activeCell="A50" sqref="A50"/>
    </sheetView>
  </sheetViews>
  <sheetFormatPr defaultRowHeight="15"/>
  <cols>
    <col min="1" max="1" width="61.85546875" customWidth="1"/>
    <col min="8" max="8" width="48.7109375" customWidth="1"/>
    <col min="9" max="9" width="9.28515625" bestFit="1" customWidth="1"/>
  </cols>
  <sheetData>
    <row r="1" spans="1:17" ht="16.5" thickTop="1" thickBot="1">
      <c r="A1" s="217" t="s">
        <v>80</v>
      </c>
    </row>
    <row r="2" spans="1:17" ht="16.5" thickTop="1" thickBot="1">
      <c r="A2" s="41" t="s">
        <v>933</v>
      </c>
      <c r="C2" s="200" t="s">
        <v>383</v>
      </c>
      <c r="D2" s="41">
        <f>SUM(I44:L62)+D3</f>
        <v>850</v>
      </c>
      <c r="H2" s="205" t="s">
        <v>911</v>
      </c>
      <c r="I2" t="s">
        <v>93</v>
      </c>
      <c r="Q2" t="s">
        <v>295</v>
      </c>
    </row>
    <row r="3" spans="1:17" ht="16.5" thickTop="1" thickBot="1">
      <c r="A3" s="41"/>
      <c r="B3" s="41"/>
      <c r="C3" s="200" t="s">
        <v>947</v>
      </c>
      <c r="D3" s="200">
        <f>SUM(SUM(D5:D34))+M65</f>
        <v>0</v>
      </c>
      <c r="H3" s="205" t="s">
        <v>912</v>
      </c>
      <c r="I3" t="s">
        <v>93</v>
      </c>
      <c r="Q3" t="s">
        <v>93</v>
      </c>
    </row>
    <row r="4" spans="1:17" ht="16.5" thickTop="1" thickBot="1">
      <c r="A4" s="1" t="s">
        <v>931</v>
      </c>
      <c r="B4" s="1" t="s">
        <v>932</v>
      </c>
      <c r="C4" t="s">
        <v>527</v>
      </c>
      <c r="H4" s="205"/>
    </row>
    <row r="5" spans="1:17" ht="16.5" thickTop="1" thickBot="1">
      <c r="A5" s="202" t="s">
        <v>917</v>
      </c>
      <c r="B5" s="1">
        <v>250</v>
      </c>
      <c r="C5" s="66">
        <v>0</v>
      </c>
      <c r="D5" s="41">
        <f>B5*C5</f>
        <v>0</v>
      </c>
      <c r="H5" s="205" t="s">
        <v>913</v>
      </c>
      <c r="I5" t="s">
        <v>93</v>
      </c>
    </row>
    <row r="6" spans="1:17" ht="16.5" thickTop="1" thickBot="1">
      <c r="A6" s="202" t="s">
        <v>918</v>
      </c>
      <c r="B6" s="1">
        <v>550</v>
      </c>
      <c r="C6" s="66">
        <v>0</v>
      </c>
      <c r="D6" s="41">
        <f t="shared" ref="D6:D39" si="0">B6*C6</f>
        <v>0</v>
      </c>
      <c r="H6" s="210"/>
    </row>
    <row r="7" spans="1:17" ht="16.5" thickTop="1" thickBot="1">
      <c r="A7" s="202" t="s">
        <v>919</v>
      </c>
      <c r="B7" s="1">
        <v>850</v>
      </c>
      <c r="C7" s="66">
        <v>0</v>
      </c>
      <c r="D7" s="41">
        <f t="shared" si="0"/>
        <v>0</v>
      </c>
      <c r="H7" s="205" t="s">
        <v>914</v>
      </c>
      <c r="I7" t="s">
        <v>93</v>
      </c>
    </row>
    <row r="8" spans="1:17" ht="27" thickTop="1" thickBot="1">
      <c r="A8" s="202" t="s">
        <v>920</v>
      </c>
      <c r="B8" s="1">
        <v>50</v>
      </c>
      <c r="C8" s="66">
        <v>0</v>
      </c>
      <c r="D8" s="41">
        <f t="shared" si="0"/>
        <v>0</v>
      </c>
      <c r="H8" s="205" t="s">
        <v>915</v>
      </c>
      <c r="I8" t="s">
        <v>93</v>
      </c>
    </row>
    <row r="9" spans="1:17" ht="16.5" thickTop="1" thickBot="1">
      <c r="A9" s="202" t="s">
        <v>921</v>
      </c>
      <c r="B9" s="1">
        <v>100</v>
      </c>
      <c r="C9" s="66">
        <v>0</v>
      </c>
      <c r="D9" s="41">
        <f t="shared" si="0"/>
        <v>0</v>
      </c>
      <c r="H9" s="205"/>
    </row>
    <row r="10" spans="1:17" ht="16.5" thickTop="1" thickBot="1">
      <c r="A10" s="202" t="s">
        <v>922</v>
      </c>
      <c r="B10" s="1">
        <v>250</v>
      </c>
      <c r="C10" s="66">
        <v>0</v>
      </c>
      <c r="D10" s="41">
        <f t="shared" si="0"/>
        <v>0</v>
      </c>
      <c r="H10" s="205"/>
    </row>
    <row r="11" spans="1:17" ht="16.5" thickTop="1" thickBot="1">
      <c r="A11" s="202" t="s">
        <v>923</v>
      </c>
      <c r="B11" s="1">
        <v>30</v>
      </c>
      <c r="C11" s="66">
        <v>0</v>
      </c>
      <c r="D11" s="41">
        <f t="shared" si="0"/>
        <v>0</v>
      </c>
      <c r="H11" s="205"/>
    </row>
    <row r="12" spans="1:17" ht="16.5" thickTop="1" thickBot="1">
      <c r="A12" s="202" t="s">
        <v>924</v>
      </c>
      <c r="B12" s="1">
        <v>100</v>
      </c>
      <c r="C12" s="66">
        <v>0</v>
      </c>
      <c r="D12" s="41">
        <f t="shared" si="0"/>
        <v>0</v>
      </c>
      <c r="H12" s="211"/>
    </row>
    <row r="13" spans="1:17" ht="16.5" thickTop="1" thickBot="1">
      <c r="A13" s="202" t="s">
        <v>925</v>
      </c>
      <c r="B13" s="1">
        <v>350</v>
      </c>
      <c r="C13" s="66">
        <v>0</v>
      </c>
      <c r="D13" s="41">
        <f t="shared" si="0"/>
        <v>0</v>
      </c>
      <c r="H13" s="212"/>
    </row>
    <row r="14" spans="1:17" ht="16.5" thickTop="1" thickBot="1">
      <c r="A14" s="202" t="s">
        <v>926</v>
      </c>
      <c r="B14" s="1">
        <v>800</v>
      </c>
      <c r="C14" s="66">
        <v>0</v>
      </c>
      <c r="D14" s="41">
        <f t="shared" si="0"/>
        <v>0</v>
      </c>
      <c r="H14" s="205"/>
    </row>
    <row r="15" spans="1:17" ht="16.5" thickTop="1" thickBot="1">
      <c r="A15" s="202" t="s">
        <v>927</v>
      </c>
      <c r="B15" s="1">
        <v>50</v>
      </c>
      <c r="C15" s="66">
        <v>0</v>
      </c>
      <c r="D15" s="41">
        <f t="shared" si="0"/>
        <v>0</v>
      </c>
      <c r="H15" s="213"/>
    </row>
    <row r="16" spans="1:17" ht="16.5" thickTop="1" thickBot="1">
      <c r="A16" s="202" t="s">
        <v>928</v>
      </c>
      <c r="B16" s="1">
        <v>110</v>
      </c>
      <c r="C16" s="66">
        <v>0</v>
      </c>
      <c r="D16" s="41">
        <f t="shared" si="0"/>
        <v>0</v>
      </c>
      <c r="H16" s="214"/>
    </row>
    <row r="17" spans="1:8" ht="16.5" thickTop="1" thickBot="1">
      <c r="A17" s="202" t="s">
        <v>929</v>
      </c>
      <c r="B17" s="1">
        <v>180</v>
      </c>
      <c r="C17" s="66">
        <v>0</v>
      </c>
      <c r="D17" s="41">
        <f t="shared" si="0"/>
        <v>0</v>
      </c>
      <c r="H17" s="205"/>
    </row>
    <row r="18" spans="1:8" ht="16.5" thickTop="1" thickBot="1">
      <c r="A18" s="202" t="s">
        <v>930</v>
      </c>
      <c r="B18" s="1">
        <v>1700</v>
      </c>
      <c r="C18" s="66">
        <v>0</v>
      </c>
      <c r="D18" s="41">
        <f t="shared" si="0"/>
        <v>0</v>
      </c>
      <c r="H18" s="205"/>
    </row>
    <row r="19" spans="1:8" ht="16.5" thickTop="1" thickBot="1">
      <c r="A19" s="202" t="s">
        <v>916</v>
      </c>
      <c r="B19" s="1">
        <v>100</v>
      </c>
      <c r="C19" s="66">
        <v>0</v>
      </c>
      <c r="D19" s="41">
        <f t="shared" si="0"/>
        <v>0</v>
      </c>
    </row>
    <row r="20" spans="1:8" ht="16.5" thickTop="1" thickBot="1">
      <c r="A20" s="202" t="s">
        <v>938</v>
      </c>
      <c r="B20" s="1">
        <v>600</v>
      </c>
      <c r="C20" s="66">
        <v>0</v>
      </c>
      <c r="D20" s="41">
        <f t="shared" si="0"/>
        <v>0</v>
      </c>
    </row>
    <row r="21" spans="1:8" ht="16.5" thickTop="1" thickBot="1">
      <c r="A21" s="202" t="s">
        <v>941</v>
      </c>
      <c r="B21" s="1">
        <v>950</v>
      </c>
      <c r="C21" s="66">
        <v>0</v>
      </c>
      <c r="D21" s="41">
        <f t="shared" si="0"/>
        <v>0</v>
      </c>
    </row>
    <row r="22" spans="1:8" ht="16.5" thickTop="1" thickBot="1">
      <c r="A22" s="202" t="s">
        <v>944</v>
      </c>
      <c r="B22" s="1">
        <v>1650</v>
      </c>
      <c r="C22" s="66">
        <v>0</v>
      </c>
      <c r="D22" s="41">
        <f t="shared" si="0"/>
        <v>0</v>
      </c>
    </row>
    <row r="23" spans="1:8" ht="16.5" thickTop="1" thickBot="1">
      <c r="A23" s="202" t="s">
        <v>939</v>
      </c>
      <c r="B23" s="1">
        <v>950</v>
      </c>
      <c r="C23" s="66">
        <v>0</v>
      </c>
      <c r="D23" s="41">
        <f t="shared" si="0"/>
        <v>0</v>
      </c>
    </row>
    <row r="24" spans="1:8" ht="16.5" thickTop="1" thickBot="1">
      <c r="A24" s="202" t="s">
        <v>942</v>
      </c>
      <c r="B24" s="1">
        <v>1550</v>
      </c>
      <c r="C24" s="66">
        <v>0</v>
      </c>
      <c r="D24" s="41">
        <f t="shared" si="0"/>
        <v>0</v>
      </c>
    </row>
    <row r="25" spans="1:8" ht="16.5" thickTop="1" thickBot="1">
      <c r="A25" s="202" t="s">
        <v>945</v>
      </c>
      <c r="B25" s="1">
        <v>3100</v>
      </c>
      <c r="C25" s="66">
        <v>0</v>
      </c>
      <c r="D25" s="41">
        <f t="shared" si="0"/>
        <v>0</v>
      </c>
    </row>
    <row r="26" spans="1:8" ht="16.5" thickTop="1" thickBot="1">
      <c r="A26" s="202" t="s">
        <v>940</v>
      </c>
      <c r="B26" s="1">
        <v>1550</v>
      </c>
      <c r="C26" s="66">
        <v>0</v>
      </c>
      <c r="D26" s="41">
        <f t="shared" si="0"/>
        <v>0</v>
      </c>
    </row>
    <row r="27" spans="1:8" ht="16.5" thickTop="1" thickBot="1">
      <c r="A27" s="202" t="s">
        <v>943</v>
      </c>
      <c r="B27" s="1">
        <v>2250</v>
      </c>
      <c r="C27" s="66">
        <v>0</v>
      </c>
      <c r="D27" s="41">
        <f t="shared" si="0"/>
        <v>0</v>
      </c>
    </row>
    <row r="28" spans="1:8" ht="16.5" thickTop="1" thickBot="1">
      <c r="A28" s="202" t="s">
        <v>946</v>
      </c>
      <c r="B28" s="1">
        <v>3350</v>
      </c>
      <c r="C28" s="66">
        <v>0</v>
      </c>
      <c r="D28" s="41">
        <f t="shared" si="0"/>
        <v>0</v>
      </c>
    </row>
    <row r="29" spans="1:8" ht="16.5" thickTop="1" thickBot="1">
      <c r="A29" s="202" t="s">
        <v>948</v>
      </c>
      <c r="B29" s="1">
        <v>1900</v>
      </c>
      <c r="C29" s="183">
        <v>0</v>
      </c>
      <c r="D29" s="41">
        <f t="shared" si="0"/>
        <v>0</v>
      </c>
    </row>
    <row r="30" spans="1:8" ht="16.5" thickTop="1" thickBot="1">
      <c r="A30" s="202" t="s">
        <v>952</v>
      </c>
      <c r="B30" s="1">
        <v>5000</v>
      </c>
      <c r="C30" s="183">
        <v>0</v>
      </c>
      <c r="D30" s="41">
        <f t="shared" si="0"/>
        <v>0</v>
      </c>
    </row>
    <row r="31" spans="1:8" ht="16.5" thickTop="1" thickBot="1">
      <c r="A31" s="202" t="s">
        <v>955</v>
      </c>
      <c r="B31" s="1">
        <v>10000</v>
      </c>
      <c r="C31" s="183">
        <v>0</v>
      </c>
      <c r="D31" s="41">
        <f t="shared" si="0"/>
        <v>0</v>
      </c>
    </row>
    <row r="32" spans="1:8" ht="16.5" thickTop="1" thickBot="1">
      <c r="A32" s="202" t="s">
        <v>949</v>
      </c>
      <c r="B32" s="1">
        <v>3900</v>
      </c>
      <c r="C32" s="183">
        <v>0</v>
      </c>
      <c r="D32" s="41">
        <f t="shared" si="0"/>
        <v>0</v>
      </c>
    </row>
    <row r="33" spans="1:12" ht="16.5" thickTop="1" thickBot="1">
      <c r="A33" s="202" t="s">
        <v>953</v>
      </c>
      <c r="B33" s="1">
        <v>8900</v>
      </c>
      <c r="C33" s="183">
        <v>0</v>
      </c>
      <c r="D33" s="41">
        <f t="shared" si="0"/>
        <v>0</v>
      </c>
    </row>
    <row r="34" spans="1:12" ht="16.5" thickTop="1" thickBot="1">
      <c r="A34" s="202" t="s">
        <v>956</v>
      </c>
      <c r="B34" s="1">
        <v>15000</v>
      </c>
      <c r="C34" s="183">
        <v>0</v>
      </c>
      <c r="D34" s="41">
        <f t="shared" si="0"/>
        <v>0</v>
      </c>
    </row>
    <row r="35" spans="1:12" ht="16.5" thickTop="1" thickBot="1">
      <c r="A35" s="202" t="s">
        <v>950</v>
      </c>
      <c r="B35" s="1">
        <v>300</v>
      </c>
      <c r="C35" s="183">
        <v>0</v>
      </c>
      <c r="D35" s="41">
        <f t="shared" si="0"/>
        <v>0</v>
      </c>
    </row>
    <row r="36" spans="1:12" ht="16.5" thickTop="1" thickBot="1">
      <c r="A36" s="202" t="s">
        <v>957</v>
      </c>
      <c r="B36" s="1">
        <v>850</v>
      </c>
      <c r="C36" s="183">
        <v>0</v>
      </c>
      <c r="D36" s="41">
        <f t="shared" si="0"/>
        <v>0</v>
      </c>
    </row>
    <row r="37" spans="1:12" ht="16.5" thickTop="1" thickBot="1">
      <c r="A37" s="202" t="s">
        <v>951</v>
      </c>
      <c r="B37" s="1">
        <v>1500</v>
      </c>
      <c r="C37" s="183">
        <v>0</v>
      </c>
      <c r="D37" s="41">
        <f t="shared" si="0"/>
        <v>0</v>
      </c>
    </row>
    <row r="38" spans="1:12" ht="16.5" thickTop="1" thickBot="1">
      <c r="A38" s="202" t="s">
        <v>954</v>
      </c>
      <c r="B38" s="1">
        <v>2000</v>
      </c>
      <c r="C38" s="183">
        <v>0</v>
      </c>
      <c r="D38" s="41">
        <f t="shared" si="0"/>
        <v>0</v>
      </c>
    </row>
    <row r="39" spans="1:12" ht="16.5" thickTop="1" thickBot="1">
      <c r="A39" s="202" t="s">
        <v>958</v>
      </c>
      <c r="B39" s="1">
        <v>3000</v>
      </c>
      <c r="C39" s="183">
        <v>0</v>
      </c>
      <c r="D39" s="41">
        <f t="shared" si="0"/>
        <v>0</v>
      </c>
    </row>
    <row r="40" spans="1:12" ht="15.75" thickTop="1"/>
    <row r="42" spans="1:12" ht="15.75" thickBot="1">
      <c r="I42">
        <f>IF(Печать!C3=Печать!E67,IF(Печать!C5=Печать!E65,1,0),0)</f>
        <v>0</v>
      </c>
      <c r="J42">
        <f>IF(Печать!C3=Печать!E67,IF(Печать!C5=Печать!E67,1,0),0)</f>
        <v>0</v>
      </c>
      <c r="K42">
        <f>IF(Печать!C3=Печать!E66,IF(Печать!C5=Печать!E65,1,0),0)</f>
        <v>1</v>
      </c>
      <c r="L42">
        <f>IF(Печать!C3=Печать!E66,IF(Печать!C5=Печать!E66,1,0),0)</f>
        <v>0</v>
      </c>
    </row>
    <row r="43" spans="1:12" ht="16.5" thickBot="1">
      <c r="A43" s="203" t="s">
        <v>910</v>
      </c>
      <c r="B43" s="204" t="s">
        <v>700</v>
      </c>
      <c r="C43" s="204" t="s">
        <v>701</v>
      </c>
      <c r="D43" s="204" t="s">
        <v>646</v>
      </c>
      <c r="E43" s="204" t="s">
        <v>644</v>
      </c>
      <c r="H43" s="203" t="s">
        <v>910</v>
      </c>
      <c r="I43" s="204" t="s">
        <v>700</v>
      </c>
      <c r="J43" s="204" t="s">
        <v>701</v>
      </c>
      <c r="K43" s="204" t="s">
        <v>646</v>
      </c>
      <c r="L43" s="204" t="s">
        <v>644</v>
      </c>
    </row>
    <row r="44" spans="1:12" ht="16.5" thickBot="1">
      <c r="A44" s="207" t="s">
        <v>84</v>
      </c>
      <c r="B44" s="206">
        <v>150</v>
      </c>
      <c r="C44" s="206">
        <v>250</v>
      </c>
      <c r="D44" s="206">
        <v>350</v>
      </c>
      <c r="E44" s="206">
        <v>450</v>
      </c>
      <c r="G44">
        <f>IF(Печать!$A$5='Услуги дизайна'!H44,1,0)</f>
        <v>0</v>
      </c>
      <c r="H44" s="207" t="s">
        <v>84</v>
      </c>
      <c r="I44" s="206">
        <f t="shared" ref="I44:I62" si="1">B44*I$42*G44</f>
        <v>0</v>
      </c>
      <c r="J44" s="206">
        <f t="shared" ref="J44:J62" si="2">C44*J$42*G44</f>
        <v>0</v>
      </c>
      <c r="K44" s="206">
        <f t="shared" ref="K44:K62" si="3">D44*K$42*G44</f>
        <v>0</v>
      </c>
      <c r="L44" s="206">
        <f t="shared" ref="L44:L62" si="4">E44*L$42*G44</f>
        <v>0</v>
      </c>
    </row>
    <row r="45" spans="1:12" ht="16.5" thickBot="1">
      <c r="A45" s="207" t="s">
        <v>83</v>
      </c>
      <c r="B45" s="206">
        <v>150</v>
      </c>
      <c r="C45" s="206">
        <v>250</v>
      </c>
      <c r="D45" s="206">
        <v>350</v>
      </c>
      <c r="E45" s="206">
        <v>450</v>
      </c>
      <c r="G45">
        <f>IF(Печать!$A$5='Услуги дизайна'!H45,1,0)</f>
        <v>0</v>
      </c>
      <c r="H45" s="207" t="s">
        <v>83</v>
      </c>
      <c r="I45" s="206">
        <f t="shared" si="1"/>
        <v>0</v>
      </c>
      <c r="J45" s="206">
        <f t="shared" si="2"/>
        <v>0</v>
      </c>
      <c r="K45" s="206">
        <f t="shared" si="3"/>
        <v>0</v>
      </c>
      <c r="L45" s="206">
        <f t="shared" si="4"/>
        <v>0</v>
      </c>
    </row>
    <row r="46" spans="1:12" ht="16.5" thickBot="1">
      <c r="A46" s="207" t="s">
        <v>76</v>
      </c>
      <c r="B46" s="206">
        <v>500</v>
      </c>
      <c r="C46" s="206">
        <v>650</v>
      </c>
      <c r="D46" s="206">
        <v>850</v>
      </c>
      <c r="E46" s="206">
        <v>1100</v>
      </c>
      <c r="G46">
        <f>IF(Печать!$A$5='Услуги дизайна'!H46,1,0)</f>
        <v>0</v>
      </c>
      <c r="H46" s="207" t="s">
        <v>76</v>
      </c>
      <c r="I46" s="206">
        <f t="shared" si="1"/>
        <v>0</v>
      </c>
      <c r="J46" s="206">
        <f t="shared" si="2"/>
        <v>0</v>
      </c>
      <c r="K46" s="206">
        <f t="shared" si="3"/>
        <v>0</v>
      </c>
      <c r="L46" s="206">
        <f t="shared" si="4"/>
        <v>0</v>
      </c>
    </row>
    <row r="47" spans="1:12" ht="16.5" thickBot="1">
      <c r="A47" s="207" t="s">
        <v>77</v>
      </c>
      <c r="B47" s="206">
        <v>500</v>
      </c>
      <c r="C47" s="206">
        <v>650</v>
      </c>
      <c r="D47" s="206">
        <v>850</v>
      </c>
      <c r="E47" s="206">
        <v>1100</v>
      </c>
      <c r="G47">
        <f>IF(Печать!$A$5='Услуги дизайна'!H47,1,0)</f>
        <v>0</v>
      </c>
      <c r="H47" s="207" t="s">
        <v>77</v>
      </c>
      <c r="I47" s="206">
        <f t="shared" si="1"/>
        <v>0</v>
      </c>
      <c r="J47" s="206">
        <f t="shared" si="2"/>
        <v>0</v>
      </c>
      <c r="K47" s="206">
        <f t="shared" si="3"/>
        <v>0</v>
      </c>
      <c r="L47" s="206">
        <f t="shared" si="4"/>
        <v>0</v>
      </c>
    </row>
    <row r="48" spans="1:12" ht="16.5" thickBot="1">
      <c r="A48" s="207" t="s">
        <v>1032</v>
      </c>
      <c r="B48" s="206">
        <v>500</v>
      </c>
      <c r="C48" s="206">
        <v>650</v>
      </c>
      <c r="D48" s="206">
        <v>850</v>
      </c>
      <c r="E48" s="206">
        <v>1100</v>
      </c>
      <c r="G48">
        <f>IF(Печать!$A$5='Услуги дизайна'!H48,1,0)</f>
        <v>0</v>
      </c>
      <c r="H48" s="207" t="s">
        <v>79</v>
      </c>
      <c r="I48" s="206">
        <f t="shared" si="1"/>
        <v>0</v>
      </c>
      <c r="J48" s="206">
        <f t="shared" si="2"/>
        <v>0</v>
      </c>
      <c r="K48" s="206">
        <f t="shared" si="3"/>
        <v>0</v>
      </c>
      <c r="L48" s="206">
        <f t="shared" si="4"/>
        <v>0</v>
      </c>
    </row>
    <row r="49" spans="1:12" ht="16.5" thickBot="1">
      <c r="A49" s="207" t="s">
        <v>1033</v>
      </c>
      <c r="B49" s="206">
        <v>500</v>
      </c>
      <c r="C49" s="206">
        <v>650</v>
      </c>
      <c r="D49" s="206">
        <v>850</v>
      </c>
      <c r="E49" s="206">
        <v>1100</v>
      </c>
      <c r="G49">
        <f>IF(Печать!$A$5='Услуги дизайна'!H49,1,0)</f>
        <v>1</v>
      </c>
      <c r="H49" s="207" t="s">
        <v>80</v>
      </c>
      <c r="I49" s="206">
        <f t="shared" si="1"/>
        <v>0</v>
      </c>
      <c r="J49" s="206">
        <f t="shared" si="2"/>
        <v>0</v>
      </c>
      <c r="K49" s="206">
        <f t="shared" si="3"/>
        <v>850</v>
      </c>
      <c r="L49" s="206">
        <f t="shared" si="4"/>
        <v>0</v>
      </c>
    </row>
    <row r="50" spans="1:12" ht="16.5" thickBot="1">
      <c r="A50" s="207" t="s">
        <v>81</v>
      </c>
      <c r="B50" s="206">
        <v>500</v>
      </c>
      <c r="C50" s="206">
        <v>650</v>
      </c>
      <c r="D50" s="206">
        <v>850</v>
      </c>
      <c r="E50" s="206">
        <v>1100</v>
      </c>
      <c r="G50">
        <f>IF(Печать!$A$5='Услуги дизайна'!H50,1,0)</f>
        <v>0</v>
      </c>
      <c r="H50" s="207" t="s">
        <v>81</v>
      </c>
      <c r="I50" s="206">
        <f t="shared" si="1"/>
        <v>0</v>
      </c>
      <c r="J50" s="206">
        <f t="shared" si="2"/>
        <v>0</v>
      </c>
      <c r="K50" s="206">
        <f t="shared" si="3"/>
        <v>0</v>
      </c>
      <c r="L50" s="206">
        <f t="shared" si="4"/>
        <v>0</v>
      </c>
    </row>
    <row r="51" spans="1:12" ht="16.5" thickBot="1">
      <c r="A51" s="207" t="s">
        <v>82</v>
      </c>
      <c r="B51" s="206">
        <v>500</v>
      </c>
      <c r="C51" s="206">
        <v>650</v>
      </c>
      <c r="D51" s="206">
        <v>850</v>
      </c>
      <c r="E51" s="206">
        <v>1100</v>
      </c>
      <c r="G51">
        <f>IF(Печать!$A$5='Услуги дизайна'!H51,1,0)</f>
        <v>0</v>
      </c>
      <c r="H51" s="207" t="s">
        <v>82</v>
      </c>
      <c r="I51" s="206">
        <f t="shared" si="1"/>
        <v>0</v>
      </c>
      <c r="J51" s="206">
        <f t="shared" si="2"/>
        <v>0</v>
      </c>
      <c r="K51" s="206">
        <f t="shared" si="3"/>
        <v>0</v>
      </c>
      <c r="L51" s="206">
        <f t="shared" si="4"/>
        <v>0</v>
      </c>
    </row>
    <row r="52" spans="1:12" ht="16.5" thickBot="1">
      <c r="A52" s="207" t="s">
        <v>20</v>
      </c>
      <c r="B52" s="206">
        <v>500</v>
      </c>
      <c r="C52" s="206">
        <v>650</v>
      </c>
      <c r="D52" s="206">
        <v>850</v>
      </c>
      <c r="E52" s="206">
        <v>1100</v>
      </c>
      <c r="G52">
        <f>IF(Печать!$A$5='Услуги дизайна'!H52,1,0)</f>
        <v>0</v>
      </c>
      <c r="H52" s="207" t="s">
        <v>20</v>
      </c>
      <c r="I52" s="206">
        <f t="shared" si="1"/>
        <v>0</v>
      </c>
      <c r="J52" s="206">
        <f t="shared" si="2"/>
        <v>0</v>
      </c>
      <c r="K52" s="206">
        <f t="shared" si="3"/>
        <v>0</v>
      </c>
      <c r="L52" s="206">
        <f t="shared" si="4"/>
        <v>0</v>
      </c>
    </row>
    <row r="53" spans="1:12" ht="16.5" thickBot="1">
      <c r="A53" s="207" t="s">
        <v>78</v>
      </c>
      <c r="B53" s="206">
        <v>500</v>
      </c>
      <c r="C53" s="206">
        <v>650</v>
      </c>
      <c r="D53" s="206">
        <v>850</v>
      </c>
      <c r="E53" s="206">
        <v>1100</v>
      </c>
      <c r="G53">
        <f>IF(Печать!$A$5='Услуги дизайна'!H53,1,0)</f>
        <v>0</v>
      </c>
      <c r="H53" s="207" t="s">
        <v>78</v>
      </c>
      <c r="I53" s="206">
        <f t="shared" si="1"/>
        <v>0</v>
      </c>
      <c r="J53" s="206">
        <f t="shared" si="2"/>
        <v>0</v>
      </c>
      <c r="K53" s="206">
        <f t="shared" si="3"/>
        <v>0</v>
      </c>
      <c r="L53" s="206">
        <f t="shared" si="4"/>
        <v>0</v>
      </c>
    </row>
    <row r="54" spans="1:12" ht="16.5" thickBot="1">
      <c r="A54" s="208" t="s">
        <v>45</v>
      </c>
      <c r="B54" s="206">
        <v>500</v>
      </c>
      <c r="C54" s="206">
        <v>650</v>
      </c>
      <c r="D54" s="206">
        <v>850</v>
      </c>
      <c r="E54" s="206">
        <v>1100</v>
      </c>
      <c r="G54">
        <f>IF(Печать!$A$5='Услуги дизайна'!H54,1,0)</f>
        <v>0</v>
      </c>
      <c r="H54" s="208" t="s">
        <v>45</v>
      </c>
      <c r="I54" s="206">
        <f t="shared" si="1"/>
        <v>0</v>
      </c>
      <c r="J54" s="206">
        <f t="shared" si="2"/>
        <v>0</v>
      </c>
      <c r="K54" s="206">
        <f t="shared" si="3"/>
        <v>0</v>
      </c>
      <c r="L54" s="206">
        <f t="shared" si="4"/>
        <v>0</v>
      </c>
    </row>
    <row r="55" spans="1:12" ht="16.5" thickBot="1">
      <c r="A55" s="208" t="s">
        <v>50</v>
      </c>
      <c r="B55" s="206">
        <v>500</v>
      </c>
      <c r="C55" s="206">
        <v>650</v>
      </c>
      <c r="D55" s="206">
        <v>850</v>
      </c>
      <c r="E55" s="206">
        <v>1100</v>
      </c>
      <c r="G55">
        <f>IF(Печать!$A$5='Услуги дизайна'!H55,1,0)</f>
        <v>0</v>
      </c>
      <c r="H55" s="208" t="s">
        <v>50</v>
      </c>
      <c r="I55" s="206">
        <f t="shared" si="1"/>
        <v>0</v>
      </c>
      <c r="J55" s="206">
        <f t="shared" si="2"/>
        <v>0</v>
      </c>
      <c r="K55" s="206">
        <f t="shared" si="3"/>
        <v>0</v>
      </c>
      <c r="L55" s="206">
        <f t="shared" si="4"/>
        <v>0</v>
      </c>
    </row>
    <row r="56" spans="1:12" ht="16.5" thickBot="1">
      <c r="A56" s="208" t="s">
        <v>55</v>
      </c>
      <c r="B56" s="206">
        <v>500</v>
      </c>
      <c r="C56" s="206">
        <v>650</v>
      </c>
      <c r="D56" s="206">
        <v>850</v>
      </c>
      <c r="E56" s="206">
        <v>1100</v>
      </c>
      <c r="G56">
        <f>IF(Печать!$A$5='Услуги дизайна'!H56,1,0)</f>
        <v>0</v>
      </c>
      <c r="H56" s="208" t="s">
        <v>55</v>
      </c>
      <c r="I56" s="206">
        <f t="shared" si="1"/>
        <v>0</v>
      </c>
      <c r="J56" s="206">
        <f t="shared" si="2"/>
        <v>0</v>
      </c>
      <c r="K56" s="206">
        <f t="shared" si="3"/>
        <v>0</v>
      </c>
      <c r="L56" s="206">
        <f t="shared" si="4"/>
        <v>0</v>
      </c>
    </row>
    <row r="57" spans="1:12" ht="16.5" thickBot="1">
      <c r="A57" s="208" t="s">
        <v>60</v>
      </c>
      <c r="B57" s="206">
        <v>500</v>
      </c>
      <c r="C57" s="206">
        <v>650</v>
      </c>
      <c r="D57" s="206">
        <v>850</v>
      </c>
      <c r="E57" s="206">
        <v>1100</v>
      </c>
      <c r="G57">
        <f>IF(Печать!$A$5='Услуги дизайна'!H57,1,0)</f>
        <v>0</v>
      </c>
      <c r="H57" s="208" t="s">
        <v>60</v>
      </c>
      <c r="I57" s="206">
        <f t="shared" si="1"/>
        <v>0</v>
      </c>
      <c r="J57" s="206">
        <f t="shared" si="2"/>
        <v>0</v>
      </c>
      <c r="K57" s="206">
        <f t="shared" si="3"/>
        <v>0</v>
      </c>
      <c r="L57" s="206">
        <f t="shared" si="4"/>
        <v>0</v>
      </c>
    </row>
    <row r="58" spans="1:12" ht="16.5" thickBot="1">
      <c r="A58" s="208" t="s">
        <v>65</v>
      </c>
      <c r="B58" s="206">
        <v>500</v>
      </c>
      <c r="C58" s="206">
        <v>650</v>
      </c>
      <c r="D58" s="206">
        <v>850</v>
      </c>
      <c r="E58" s="206">
        <v>1100</v>
      </c>
      <c r="G58">
        <f>IF(Печать!$A$5='Услуги дизайна'!H58,1,0)</f>
        <v>0</v>
      </c>
      <c r="H58" s="208" t="s">
        <v>65</v>
      </c>
      <c r="I58" s="206">
        <f t="shared" si="1"/>
        <v>0</v>
      </c>
      <c r="J58" s="206">
        <f t="shared" si="2"/>
        <v>0</v>
      </c>
      <c r="K58" s="206">
        <f t="shared" si="3"/>
        <v>0</v>
      </c>
      <c r="L58" s="206">
        <f t="shared" si="4"/>
        <v>0</v>
      </c>
    </row>
    <row r="59" spans="1:12" ht="16.5" thickBot="1">
      <c r="A59" s="208" t="s">
        <v>70</v>
      </c>
      <c r="B59" s="206">
        <v>500</v>
      </c>
      <c r="C59" s="206">
        <v>650</v>
      </c>
      <c r="D59" s="206">
        <v>850</v>
      </c>
      <c r="E59" s="206">
        <v>1100</v>
      </c>
      <c r="G59">
        <f>IF(Печать!$A$5='Услуги дизайна'!H59,1,0)</f>
        <v>0</v>
      </c>
      <c r="H59" s="208" t="s">
        <v>70</v>
      </c>
      <c r="I59" s="206">
        <f t="shared" si="1"/>
        <v>0</v>
      </c>
      <c r="J59" s="206">
        <f t="shared" si="2"/>
        <v>0</v>
      </c>
      <c r="K59" s="206">
        <f t="shared" si="3"/>
        <v>0</v>
      </c>
      <c r="L59" s="206">
        <f t="shared" si="4"/>
        <v>0</v>
      </c>
    </row>
    <row r="60" spans="1:12" ht="16.5" thickBot="1">
      <c r="A60" s="209" t="s">
        <v>86</v>
      </c>
      <c r="B60" s="206">
        <v>500</v>
      </c>
      <c r="C60" s="206">
        <v>650</v>
      </c>
      <c r="D60" s="206">
        <v>850</v>
      </c>
      <c r="E60" s="206">
        <v>1100</v>
      </c>
      <c r="G60">
        <f>IF(Печать!$A$5='Услуги дизайна'!H60,1,0)</f>
        <v>0</v>
      </c>
      <c r="H60" s="209" t="s">
        <v>86</v>
      </c>
      <c r="I60" s="206">
        <f t="shared" si="1"/>
        <v>0</v>
      </c>
      <c r="J60" s="206">
        <f t="shared" si="2"/>
        <v>0</v>
      </c>
      <c r="K60" s="206">
        <f t="shared" si="3"/>
        <v>0</v>
      </c>
      <c r="L60" s="206">
        <f t="shared" si="4"/>
        <v>0</v>
      </c>
    </row>
    <row r="61" spans="1:12" ht="16.5" thickBot="1">
      <c r="A61" s="209" t="s">
        <v>85</v>
      </c>
      <c r="B61" s="206">
        <v>500</v>
      </c>
      <c r="C61" s="206">
        <v>650</v>
      </c>
      <c r="D61" s="206">
        <v>850</v>
      </c>
      <c r="E61" s="206">
        <v>1100</v>
      </c>
      <c r="G61">
        <f>IF(Печать!$A$5='Услуги дизайна'!H61,1,0)</f>
        <v>0</v>
      </c>
      <c r="H61" s="209" t="s">
        <v>85</v>
      </c>
      <c r="I61" s="206">
        <f t="shared" si="1"/>
        <v>0</v>
      </c>
      <c r="J61" s="206">
        <f t="shared" si="2"/>
        <v>0</v>
      </c>
      <c r="K61" s="206">
        <f t="shared" si="3"/>
        <v>0</v>
      </c>
      <c r="L61" s="206">
        <f t="shared" si="4"/>
        <v>0</v>
      </c>
    </row>
    <row r="62" spans="1:12" ht="16.5" thickBot="1">
      <c r="A62" s="209" t="s">
        <v>321</v>
      </c>
      <c r="B62" s="206">
        <v>500</v>
      </c>
      <c r="C62" s="206">
        <v>650</v>
      </c>
      <c r="D62" s="206">
        <v>850</v>
      </c>
      <c r="E62" s="206">
        <v>1100</v>
      </c>
      <c r="G62">
        <f>IF(Печать!$A$5='Услуги дизайна'!H62,1,0)</f>
        <v>0</v>
      </c>
      <c r="H62" s="209" t="s">
        <v>321</v>
      </c>
      <c r="I62" s="206">
        <f t="shared" si="1"/>
        <v>0</v>
      </c>
      <c r="J62" s="206">
        <f t="shared" si="2"/>
        <v>0</v>
      </c>
      <c r="K62" s="206">
        <f t="shared" si="3"/>
        <v>0</v>
      </c>
      <c r="L62" s="206">
        <f t="shared" si="4"/>
        <v>0</v>
      </c>
    </row>
    <row r="63" spans="1:12" ht="16.5" thickBot="1">
      <c r="A63" s="209" t="s">
        <v>75</v>
      </c>
      <c r="B63" s="206">
        <v>350</v>
      </c>
      <c r="C63" s="206">
        <v>550</v>
      </c>
      <c r="D63" s="206">
        <v>650</v>
      </c>
      <c r="E63" s="206">
        <v>850</v>
      </c>
      <c r="G63">
        <f>IF(Печать!$A$5='Услуги дизайна'!H63,1,0)</f>
        <v>0</v>
      </c>
      <c r="H63" s="209" t="s">
        <v>75</v>
      </c>
      <c r="I63" s="206">
        <f>B63*I$42*G63</f>
        <v>0</v>
      </c>
      <c r="J63" s="206">
        <f>C63*J$42*G63</f>
        <v>0</v>
      </c>
      <c r="K63" s="206">
        <f>D63*K$42*G63</f>
        <v>0</v>
      </c>
      <c r="L63" s="206">
        <f>E63*L$42*G63</f>
        <v>0</v>
      </c>
    </row>
    <row r="64" spans="1:12" ht="15.75" thickBot="1">
      <c r="I64" s="215"/>
      <c r="J64" s="215"/>
      <c r="K64" s="215"/>
      <c r="L64" s="215"/>
    </row>
    <row r="65" spans="1:13" ht="17.25" thickTop="1" thickBot="1">
      <c r="A65" s="203" t="s">
        <v>910</v>
      </c>
      <c r="B65" s="204" t="s">
        <v>700</v>
      </c>
      <c r="C65" s="204" t="s">
        <v>701</v>
      </c>
      <c r="D65" s="204" t="s">
        <v>646</v>
      </c>
      <c r="E65" s="204" t="s">
        <v>644</v>
      </c>
      <c r="H65" s="203" t="s">
        <v>910</v>
      </c>
      <c r="I65" s="204" t="s">
        <v>700</v>
      </c>
      <c r="J65" s="204" t="s">
        <v>701</v>
      </c>
      <c r="K65" s="204" t="s">
        <v>646</v>
      </c>
      <c r="L65" s="204" t="s">
        <v>644</v>
      </c>
      <c r="M65" s="41">
        <f>SUM(M66:M70)</f>
        <v>0</v>
      </c>
    </row>
    <row r="66" spans="1:13" ht="16.5" thickTop="1" thickBot="1">
      <c r="A66" s="205" t="s">
        <v>911</v>
      </c>
      <c r="B66" s="206">
        <v>150</v>
      </c>
      <c r="C66" s="206">
        <v>250</v>
      </c>
      <c r="D66" s="206">
        <v>350</v>
      </c>
      <c r="E66" s="206">
        <v>450</v>
      </c>
      <c r="G66" s="216">
        <f>IF(I2=$Q$2,1,0)</f>
        <v>0</v>
      </c>
      <c r="H66" s="205" t="s">
        <v>911</v>
      </c>
      <c r="I66" s="206">
        <f>B66*I$42*G66</f>
        <v>0</v>
      </c>
      <c r="J66" s="206">
        <f>C66*J$42*G66</f>
        <v>0</v>
      </c>
      <c r="K66" s="206">
        <f>D66*K$42*G66</f>
        <v>0</v>
      </c>
      <c r="L66" s="206">
        <f>E66*L$42*G66</f>
        <v>0</v>
      </c>
      <c r="M66" s="41">
        <f>SUM(I66:L66)</f>
        <v>0</v>
      </c>
    </row>
    <row r="67" spans="1:13" ht="16.5" thickTop="1" thickBot="1">
      <c r="A67" s="205" t="s">
        <v>912</v>
      </c>
      <c r="B67" s="206">
        <v>350</v>
      </c>
      <c r="C67" s="206">
        <v>450</v>
      </c>
      <c r="D67" s="206">
        <v>550</v>
      </c>
      <c r="E67" s="206">
        <v>750</v>
      </c>
      <c r="G67" s="216">
        <f>IF(I3=$Q$2,1,0)</f>
        <v>0</v>
      </c>
      <c r="H67" s="205" t="s">
        <v>912</v>
      </c>
      <c r="I67" s="206">
        <f>B67*I$42*G67</f>
        <v>0</v>
      </c>
      <c r="J67" s="206">
        <f>C67*J$42*G67</f>
        <v>0</v>
      </c>
      <c r="K67" s="206">
        <f>D67*K$42*G67</f>
        <v>0</v>
      </c>
      <c r="L67" s="206">
        <f>E67*L$42*G67</f>
        <v>0</v>
      </c>
      <c r="M67" s="41">
        <f>SUM(I67:L67)</f>
        <v>0</v>
      </c>
    </row>
    <row r="68" spans="1:13" ht="16.5" thickTop="1" thickBot="1">
      <c r="A68" s="205" t="s">
        <v>913</v>
      </c>
      <c r="B68" s="206">
        <v>990</v>
      </c>
      <c r="C68" s="206">
        <v>1210</v>
      </c>
      <c r="D68" s="206">
        <v>1350</v>
      </c>
      <c r="E68" s="206">
        <v>1600</v>
      </c>
      <c r="G68" s="216">
        <f>IF(I5=$Q$2,1,0)</f>
        <v>0</v>
      </c>
      <c r="H68" s="205" t="s">
        <v>913</v>
      </c>
      <c r="I68" s="206">
        <f>B68*I$42*G68</f>
        <v>0</v>
      </c>
      <c r="J68" s="206">
        <f>C68*J$42*G68</f>
        <v>0</v>
      </c>
      <c r="K68" s="206">
        <f>D68*K$42*G68</f>
        <v>0</v>
      </c>
      <c r="L68" s="206">
        <f>E68*L$42*G68</f>
        <v>0</v>
      </c>
      <c r="M68" s="41">
        <f>SUM(I68:L68)</f>
        <v>0</v>
      </c>
    </row>
    <row r="69" spans="1:13" ht="16.5" thickTop="1" thickBot="1">
      <c r="A69" s="205" t="s">
        <v>914</v>
      </c>
      <c r="B69" s="206">
        <v>300</v>
      </c>
      <c r="C69" s="206">
        <v>350</v>
      </c>
      <c r="D69" s="206">
        <v>450</v>
      </c>
      <c r="E69" s="206">
        <v>550</v>
      </c>
      <c r="G69" s="216">
        <f>IF(I7=$Q$2,1,0)</f>
        <v>0</v>
      </c>
      <c r="H69" s="205" t="s">
        <v>914</v>
      </c>
      <c r="I69" s="206">
        <f>B69*I$42*G69</f>
        <v>0</v>
      </c>
      <c r="J69" s="206">
        <f>C69*J$42*G69</f>
        <v>0</v>
      </c>
      <c r="K69" s="206">
        <f>D69*K$42*G69</f>
        <v>0</v>
      </c>
      <c r="L69" s="206">
        <f>E69*L$42*G69</f>
        <v>0</v>
      </c>
      <c r="M69" s="41">
        <f>SUM(I69:L69)</f>
        <v>0</v>
      </c>
    </row>
    <row r="70" spans="1:13" ht="27" thickTop="1" thickBot="1">
      <c r="A70" s="205" t="s">
        <v>915</v>
      </c>
      <c r="B70" s="206">
        <v>150</v>
      </c>
      <c r="C70" s="206"/>
      <c r="D70" s="206">
        <v>250</v>
      </c>
      <c r="E70" s="206"/>
      <c r="G70" s="216">
        <f>IF(I8=$Q$2,1,0)</f>
        <v>0</v>
      </c>
      <c r="H70" s="205" t="s">
        <v>915</v>
      </c>
      <c r="I70" s="206">
        <f>B70*I$42*G70</f>
        <v>0</v>
      </c>
      <c r="J70" s="206">
        <f>B70*J42*G70</f>
        <v>0</v>
      </c>
      <c r="K70" s="206">
        <f>D70*K$42*G70</f>
        <v>0</v>
      </c>
      <c r="L70" s="206">
        <f>D70*L42*G70</f>
        <v>0</v>
      </c>
      <c r="M70" s="41">
        <f>SUM(I70:L70)</f>
        <v>0</v>
      </c>
    </row>
  </sheetData>
  <dataValidations count="1">
    <dataValidation type="list" allowBlank="1" showInputMessage="1" showErrorMessage="1" sqref="I2:I12 I17:I18 I14:I15">
      <formula1>$Q$2:$Q$3</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I25"/>
  <sheetViews>
    <sheetView view="pageLayout" workbookViewId="0">
      <selection activeCell="B22" sqref="B22"/>
    </sheetView>
  </sheetViews>
  <sheetFormatPr defaultRowHeight="15"/>
  <cols>
    <col min="1" max="1" width="24" customWidth="1"/>
  </cols>
  <sheetData>
    <row r="1" spans="1:9">
      <c r="A1" t="s">
        <v>154</v>
      </c>
      <c r="B1" s="5">
        <f>Печать!G9+Печать!G11</f>
        <v>1254.4192264302983</v>
      </c>
    </row>
    <row r="2" spans="1:9">
      <c r="A2" t="s">
        <v>128</v>
      </c>
      <c r="B2">
        <f>IF(F7=0,0,IF(B17=A23,B12+B12*F7*B14,IF(B17=A22,B12+B12*F7*B14*B22,IF(B17=A24,B12+B12*F7*B14+(B1*(B24-1)),IF(B17=A25,B12+B12*F7*B14+(B1*(B25-1)),"Купи ножницы")))))</f>
        <v>0</v>
      </c>
      <c r="E2" t="s">
        <v>137</v>
      </c>
      <c r="I2" s="2" t="s">
        <v>136</v>
      </c>
    </row>
    <row r="3" spans="1:9">
      <c r="A3" t="s">
        <v>166</v>
      </c>
      <c r="B3" t="str">
        <f>Себестоимости!O2</f>
        <v>ОБЫЧНЫЙ</v>
      </c>
      <c r="D3" t="s">
        <v>169</v>
      </c>
      <c r="E3" t="s">
        <v>138</v>
      </c>
      <c r="F3" t="s">
        <v>139</v>
      </c>
      <c r="H3" s="2" t="s">
        <v>329</v>
      </c>
      <c r="I3" s="1">
        <v>110</v>
      </c>
    </row>
    <row r="4" spans="1:9">
      <c r="A4" t="s">
        <v>164</v>
      </c>
      <c r="B4">
        <f>Форматы!N2</f>
        <v>100</v>
      </c>
      <c r="D4">
        <f>Форматы!F2</f>
        <v>1</v>
      </c>
      <c r="E4">
        <f>Форматы!L2</f>
        <v>1</v>
      </c>
      <c r="F4">
        <f>D4/E4</f>
        <v>1</v>
      </c>
      <c r="H4" s="2" t="s">
        <v>157</v>
      </c>
      <c r="I4" s="1">
        <v>166</v>
      </c>
    </row>
    <row r="5" spans="1:9">
      <c r="A5" t="s">
        <v>165</v>
      </c>
      <c r="B5">
        <f>IF(B3=H3,I3*B4/1000,IF(B3=H4,I4*B4/1000,IF(B3=H5,I5*B4/1000,IF(B3=H6,I6*B4/1000,IF(B3=H7,I7*B4/1000,IF(B3=H8,I8*B4/1000,IF(B3=H9,I9*B4/1000,0)))))))</f>
        <v>11</v>
      </c>
      <c r="H5" s="2" t="s">
        <v>159</v>
      </c>
      <c r="I5" s="1">
        <v>150</v>
      </c>
    </row>
    <row r="6" spans="1:9">
      <c r="A6" t="s">
        <v>140</v>
      </c>
      <c r="B6" s="3" t="str">
        <f>Печать!E5</f>
        <v>нет</v>
      </c>
      <c r="E6" t="s">
        <v>167</v>
      </c>
      <c r="H6" s="2" t="s">
        <v>328</v>
      </c>
      <c r="I6" s="1">
        <v>196</v>
      </c>
    </row>
    <row r="7" spans="1:9">
      <c r="A7" t="s">
        <v>168</v>
      </c>
      <c r="B7" s="3" t="s">
        <v>141</v>
      </c>
      <c r="D7">
        <f>IF(D8=0,0,IF(B5&lt;I11,D8,CEILING(B5/I11,1)+CEILING(B5/I11,1)))</f>
        <v>0</v>
      </c>
      <c r="E7">
        <f>IF(Форматы!I2=Резка!D8,0,CEILING(B5/I11,1)*(E4+F4))</f>
        <v>0</v>
      </c>
      <c r="F7">
        <f>SUM(D7:E7)</f>
        <v>0</v>
      </c>
      <c r="H7" s="2" t="s">
        <v>158</v>
      </c>
      <c r="I7" s="1">
        <v>200</v>
      </c>
    </row>
    <row r="8" spans="1:9">
      <c r="D8">
        <f>IF(Печать!E5=Печать!I65,2,0)</f>
        <v>0</v>
      </c>
      <c r="H8" s="2" t="s">
        <v>327</v>
      </c>
      <c r="I8" s="1">
        <v>350</v>
      </c>
    </row>
    <row r="9" spans="1:9">
      <c r="H9" s="2" t="s">
        <v>155</v>
      </c>
      <c r="I9" s="1">
        <v>400</v>
      </c>
    </row>
    <row r="10" spans="1:9">
      <c r="H10" s="4"/>
      <c r="I10" s="4"/>
    </row>
    <row r="11" spans="1:9">
      <c r="H11" s="2" t="s">
        <v>163</v>
      </c>
      <c r="I11" s="1">
        <v>84</v>
      </c>
    </row>
    <row r="12" spans="1:9">
      <c r="A12" t="s">
        <v>131</v>
      </c>
      <c r="B12">
        <v>48</v>
      </c>
      <c r="H12" s="4"/>
      <c r="I12" s="4"/>
    </row>
    <row r="13" spans="1:9">
      <c r="A13" t="s">
        <v>129</v>
      </c>
      <c r="B13">
        <v>1.25</v>
      </c>
    </row>
    <row r="14" spans="1:9">
      <c r="A14" t="s">
        <v>130</v>
      </c>
      <c r="B14">
        <v>3.3000000000000002E-2</v>
      </c>
    </row>
    <row r="16" spans="1:9">
      <c r="A16" t="s">
        <v>147</v>
      </c>
      <c r="B16" t="s">
        <v>144</v>
      </c>
    </row>
    <row r="17" spans="1:9">
      <c r="A17" t="s">
        <v>148</v>
      </c>
      <c r="B17" t="s">
        <v>153</v>
      </c>
    </row>
    <row r="18" spans="1:9">
      <c r="A18" t="s">
        <v>160</v>
      </c>
      <c r="B18" s="3" t="s">
        <v>141</v>
      </c>
      <c r="C18">
        <v>0.2</v>
      </c>
    </row>
    <row r="19" spans="1:9">
      <c r="A19" t="s">
        <v>161</v>
      </c>
      <c r="B19" s="3" t="s">
        <v>141</v>
      </c>
    </row>
    <row r="20" spans="1:9">
      <c r="A20" t="s">
        <v>162</v>
      </c>
      <c r="B20" s="3" t="s">
        <v>141</v>
      </c>
    </row>
    <row r="21" spans="1:9">
      <c r="A21" t="s">
        <v>152</v>
      </c>
    </row>
    <row r="22" spans="1:9">
      <c r="A22" t="s">
        <v>149</v>
      </c>
      <c r="B22">
        <v>0.9</v>
      </c>
      <c r="H22" t="s">
        <v>143</v>
      </c>
    </row>
    <row r="23" spans="1:9">
      <c r="A23" t="s">
        <v>150</v>
      </c>
      <c r="B23">
        <v>1</v>
      </c>
      <c r="H23" t="s">
        <v>144</v>
      </c>
      <c r="I23" t="s">
        <v>141</v>
      </c>
    </row>
    <row r="24" spans="1:9">
      <c r="A24" t="s">
        <v>153</v>
      </c>
      <c r="B24">
        <v>1.1000000000000001</v>
      </c>
      <c r="H24" t="s">
        <v>145</v>
      </c>
      <c r="I24" t="s">
        <v>142</v>
      </c>
    </row>
    <row r="25" spans="1:9">
      <c r="A25" t="s">
        <v>151</v>
      </c>
      <c r="B25">
        <v>1.5</v>
      </c>
      <c r="H25" t="s">
        <v>146</v>
      </c>
    </row>
  </sheetData>
  <dataValidations count="4">
    <dataValidation type="list" allowBlank="1" showInputMessage="1" showErrorMessage="1" sqref="B6:B7 B18:B20">
      <formula1>$I$23:$I$24</formula1>
    </dataValidation>
    <dataValidation type="list" allowBlank="1" showInputMessage="1" showErrorMessage="1" sqref="B16">
      <formula1>$H$22:$H$25</formula1>
    </dataValidation>
    <dataValidation type="list" allowBlank="1" showInputMessage="1" showErrorMessage="1" sqref="B17">
      <formula1>$A$22:$A$25</formula1>
    </dataValidation>
    <dataValidation type="list" allowBlank="1" showInputMessage="1" showErrorMessage="1" sqref="B3">
      <formula1>$H$3:$H$9</formula1>
    </dataValidation>
  </dataValidations>
  <pageMargins left="0.43307086614173229" right="0" top="0" bottom="0" header="0" footer="0"/>
  <pageSetup paperSize="9" orientation="portrait" r:id="rId1"/>
</worksheet>
</file>

<file path=xl/worksheets/sheet9.xml><?xml version="1.0" encoding="utf-8"?>
<worksheet xmlns="http://schemas.openxmlformats.org/spreadsheetml/2006/main" xmlns:r="http://schemas.openxmlformats.org/officeDocument/2006/relationships">
  <dimension ref="A1:M15"/>
  <sheetViews>
    <sheetView workbookViewId="0">
      <selection activeCell="B33" sqref="B33"/>
    </sheetView>
  </sheetViews>
  <sheetFormatPr defaultRowHeight="15"/>
  <cols>
    <col min="1" max="1" width="34.28515625" customWidth="1"/>
    <col min="2" max="13" width="12.42578125" customWidth="1"/>
  </cols>
  <sheetData>
    <row r="1" spans="1:13" ht="23.25" customHeight="1">
      <c r="A1" s="355" t="s">
        <v>407</v>
      </c>
      <c r="B1" s="356"/>
      <c r="C1" s="356"/>
      <c r="D1" s="356"/>
      <c r="E1" s="356"/>
      <c r="F1" s="356"/>
      <c r="G1" s="356"/>
      <c r="H1" s="356"/>
      <c r="I1" s="356"/>
      <c r="J1" s="356"/>
      <c r="K1" s="356"/>
      <c r="L1" s="356"/>
      <c r="M1" s="356"/>
    </row>
    <row r="2" spans="1:13" ht="23.25" customHeight="1" thickBot="1">
      <c r="A2" s="356"/>
      <c r="B2" s="356"/>
      <c r="C2" s="356"/>
      <c r="D2" s="356"/>
      <c r="E2" s="356"/>
      <c r="F2" s="356"/>
      <c r="G2" s="356"/>
      <c r="H2" s="356"/>
      <c r="I2" s="356"/>
      <c r="J2" s="356"/>
      <c r="K2" s="356"/>
      <c r="L2" s="356"/>
      <c r="M2" s="356"/>
    </row>
    <row r="3" spans="1:13" ht="23.25" customHeight="1" thickBot="1">
      <c r="A3" s="10" t="s">
        <v>408</v>
      </c>
      <c r="B3" s="11">
        <v>1</v>
      </c>
      <c r="C3" s="11">
        <v>1.26</v>
      </c>
      <c r="D3" s="11">
        <v>1.37</v>
      </c>
      <c r="E3" s="11">
        <v>1.4</v>
      </c>
      <c r="F3" s="11">
        <v>1.52</v>
      </c>
      <c r="G3" s="11">
        <v>1.6</v>
      </c>
      <c r="H3" s="11">
        <v>2.2000000000000002</v>
      </c>
      <c r="I3" s="11">
        <v>2.5</v>
      </c>
      <c r="J3" s="12">
        <v>3.2</v>
      </c>
      <c r="K3" s="13" t="s">
        <v>395</v>
      </c>
      <c r="L3" s="13"/>
      <c r="M3" s="13"/>
    </row>
    <row r="4" spans="1:13" ht="23.25" customHeight="1" thickBot="1">
      <c r="A4" s="14" t="s">
        <v>409</v>
      </c>
      <c r="B4" s="11"/>
      <c r="C4" s="11"/>
      <c r="D4" s="16" t="s">
        <v>396</v>
      </c>
      <c r="E4" s="15"/>
      <c r="F4" s="15"/>
      <c r="G4" s="16" t="s">
        <v>396</v>
      </c>
      <c r="H4" s="16" t="s">
        <v>396</v>
      </c>
      <c r="I4" s="16" t="s">
        <v>396</v>
      </c>
      <c r="J4" s="17" t="s">
        <v>396</v>
      </c>
      <c r="K4">
        <v>100</v>
      </c>
      <c r="L4" s="13"/>
      <c r="M4" s="13"/>
    </row>
    <row r="5" spans="1:13" ht="23.25" customHeight="1">
      <c r="A5" s="14" t="s">
        <v>410</v>
      </c>
      <c r="B5" s="15"/>
      <c r="C5" s="15"/>
      <c r="D5" s="16" t="s">
        <v>396</v>
      </c>
      <c r="E5" s="15"/>
      <c r="F5" s="15"/>
      <c r="G5" s="16" t="s">
        <v>396</v>
      </c>
      <c r="H5" s="16" t="s">
        <v>396</v>
      </c>
      <c r="I5" s="16" t="s">
        <v>396</v>
      </c>
      <c r="J5" s="17" t="s">
        <v>396</v>
      </c>
      <c r="K5">
        <v>140</v>
      </c>
    </row>
    <row r="6" spans="1:13" ht="23.25" customHeight="1">
      <c r="A6" s="18" t="s">
        <v>397</v>
      </c>
      <c r="B6" s="357" t="s">
        <v>398</v>
      </c>
      <c r="C6" s="357"/>
      <c r="D6" s="357"/>
      <c r="E6" s="357"/>
      <c r="F6" s="357"/>
      <c r="G6" s="357"/>
      <c r="H6" s="357"/>
      <c r="I6" s="357"/>
      <c r="J6" s="358"/>
      <c r="K6">
        <v>210</v>
      </c>
    </row>
    <row r="7" spans="1:13" ht="23.25" customHeight="1">
      <c r="A7" s="19" t="s">
        <v>399</v>
      </c>
      <c r="B7" s="359" t="s">
        <v>398</v>
      </c>
      <c r="C7" s="359"/>
      <c r="D7" s="359"/>
      <c r="E7" s="359"/>
      <c r="F7" s="359"/>
      <c r="G7" s="359"/>
      <c r="H7" s="359"/>
      <c r="I7" s="359"/>
      <c r="J7" s="360"/>
      <c r="K7">
        <v>120</v>
      </c>
    </row>
    <row r="8" spans="1:13" ht="31.5" customHeight="1">
      <c r="A8" s="20" t="s">
        <v>400</v>
      </c>
      <c r="B8" s="21" t="s">
        <v>396</v>
      </c>
      <c r="C8" s="21" t="s">
        <v>396</v>
      </c>
      <c r="D8" s="21" t="s">
        <v>396</v>
      </c>
      <c r="E8" s="22"/>
      <c r="F8" s="21" t="s">
        <v>396</v>
      </c>
      <c r="G8" s="21" t="s">
        <v>396</v>
      </c>
      <c r="H8" s="21"/>
      <c r="I8" s="22"/>
      <c r="J8" s="23"/>
      <c r="K8">
        <v>180</v>
      </c>
    </row>
    <row r="9" spans="1:13" ht="23.25" customHeight="1">
      <c r="A9" s="19" t="s">
        <v>401</v>
      </c>
      <c r="B9" s="24"/>
      <c r="C9" s="24"/>
      <c r="D9" s="25" t="s">
        <v>396</v>
      </c>
      <c r="E9" s="24"/>
      <c r="F9" s="24"/>
      <c r="G9" s="24" t="s">
        <v>398</v>
      </c>
      <c r="H9" s="24"/>
      <c r="I9" s="24"/>
      <c r="J9" s="26"/>
      <c r="K9">
        <v>400</v>
      </c>
    </row>
    <row r="10" spans="1:13" ht="23.25" customHeight="1">
      <c r="A10" s="20" t="s">
        <v>402</v>
      </c>
      <c r="B10" s="22"/>
      <c r="C10" s="22"/>
      <c r="D10" s="21" t="s">
        <v>396</v>
      </c>
      <c r="E10" s="22"/>
      <c r="F10" s="22"/>
      <c r="G10" s="22"/>
      <c r="H10" s="22"/>
      <c r="I10" s="22"/>
      <c r="J10" s="23"/>
      <c r="K10">
        <v>400</v>
      </c>
    </row>
    <row r="11" spans="1:13" ht="23.25" customHeight="1">
      <c r="A11" s="19" t="s">
        <v>403</v>
      </c>
      <c r="B11" s="359" t="s">
        <v>398</v>
      </c>
      <c r="C11" s="359"/>
      <c r="D11" s="359"/>
      <c r="E11" s="359"/>
      <c r="F11" s="359"/>
      <c r="G11" s="359"/>
      <c r="H11" s="359"/>
      <c r="I11" s="359"/>
      <c r="J11" s="360"/>
    </row>
    <row r="12" spans="1:13" ht="23.25" customHeight="1">
      <c r="A12" s="20" t="s">
        <v>404</v>
      </c>
      <c r="B12" s="22"/>
      <c r="C12" s="21" t="s">
        <v>396</v>
      </c>
      <c r="D12" s="22"/>
      <c r="E12" s="21" t="s">
        <v>396</v>
      </c>
      <c r="F12" s="22"/>
      <c r="G12" s="21" t="s">
        <v>396</v>
      </c>
      <c r="H12" s="22"/>
      <c r="I12" s="22"/>
      <c r="J12" s="23"/>
      <c r="K12">
        <v>50</v>
      </c>
    </row>
    <row r="13" spans="1:13" ht="23.25" customHeight="1">
      <c r="A13" s="19" t="s">
        <v>405</v>
      </c>
      <c r="B13" s="24"/>
      <c r="C13" s="24"/>
      <c r="D13" s="25" t="s">
        <v>396</v>
      </c>
      <c r="E13" s="24"/>
      <c r="F13" s="24"/>
      <c r="G13" s="25" t="s">
        <v>396</v>
      </c>
      <c r="H13" s="24"/>
      <c r="I13" s="24"/>
      <c r="J13" s="26"/>
      <c r="K13">
        <v>200</v>
      </c>
    </row>
    <row r="14" spans="1:13" ht="23.25" customHeight="1" thickBot="1">
      <c r="A14" s="27" t="s">
        <v>406</v>
      </c>
      <c r="B14" s="28"/>
      <c r="C14" s="28"/>
      <c r="D14" s="28"/>
      <c r="E14" s="28"/>
      <c r="F14" s="28"/>
      <c r="G14" s="29" t="s">
        <v>396</v>
      </c>
      <c r="H14" s="28"/>
      <c r="I14" s="28"/>
      <c r="J14" s="30"/>
      <c r="K14">
        <v>45</v>
      </c>
    </row>
    <row r="15" spans="1:13">
      <c r="A15" s="31" t="s">
        <v>411</v>
      </c>
      <c r="J15" s="17" t="s">
        <v>396</v>
      </c>
      <c r="K15">
        <v>180</v>
      </c>
    </row>
  </sheetData>
  <mergeCells count="4">
    <mergeCell ref="A1:M2"/>
    <mergeCell ref="B6:J6"/>
    <mergeCell ref="B7:J7"/>
    <mergeCell ref="B11:J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Новинки</vt:lpstr>
      <vt:lpstr>Лист2</vt:lpstr>
      <vt:lpstr>Прайс</vt:lpstr>
      <vt:lpstr>Печать</vt:lpstr>
      <vt:lpstr>Офсет</vt:lpstr>
      <vt:lpstr>Себестоимости</vt:lpstr>
      <vt:lpstr>Услуги дизайна</vt:lpstr>
      <vt:lpstr>Резка</vt:lpstr>
      <vt:lpstr>Размеры и перерасход</vt:lpstr>
      <vt:lpstr>Настройки</vt:lpstr>
      <vt:lpstr>Широкоформат</vt:lpstr>
      <vt:lpstr>Стоимость за кв.м.</vt:lpstr>
      <vt:lpstr>Плот.резка</vt:lpstr>
      <vt:lpstr>Форматы</vt:lpstr>
      <vt:lpstr>Переплёт</vt:lpstr>
      <vt:lpstr>Изделия из пластика</vt:lpstr>
      <vt:lpstr>Аксессуры</vt:lpstr>
      <vt:lpstr>Штампы</vt:lpstr>
      <vt:lpstr>Штендер</vt:lpstr>
      <vt:lpstr>Каталоги на скобу</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Конст</dc:creator>
  <cp:lastModifiedBy>Админ</cp:lastModifiedBy>
  <cp:lastPrinted>2018-10-09T10:41:12Z</cp:lastPrinted>
  <dcterms:created xsi:type="dcterms:W3CDTF">2014-04-09T11:34:51Z</dcterms:created>
  <dcterms:modified xsi:type="dcterms:W3CDTF">2024-11-19T12:59:28Z</dcterms:modified>
</cp:coreProperties>
</file>